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Santosh\Personal\Energy Finance Class\Energy Finance Class\Elsevier-ST-Book Proposal\Final Spreadsheets\"/>
    </mc:Choice>
  </mc:AlternateContent>
  <bookViews>
    <workbookView xWindow="0" yWindow="0" windowWidth="23040" windowHeight="9384" firstSheet="4" activeTab="7"/>
  </bookViews>
  <sheets>
    <sheet name="P-50" sheetId="1" r:id="rId1"/>
    <sheet name="P-99" sheetId="2" r:id="rId2"/>
    <sheet name="First-lien debt service" sheetId="4" r:id="rId3"/>
    <sheet name="Cumulative Pre-tax Equity IRR" sheetId="10" r:id="rId4"/>
    <sheet name="Returns with first-lien debt" sheetId="3" r:id="rId5"/>
    <sheet name="Returns with second-lien debt" sheetId="7" r:id="rId6"/>
    <sheet name="Returns with TLB cash sweep" sheetId="8" r:id="rId7"/>
    <sheet name="Returns with quasi-merchant" sheetId="9" r:id="rId8"/>
  </sheets>
  <definedNames>
    <definedName name="_xlnm.Print_Area" localSheetId="0">'P-50'!$B$1:$AC$44</definedName>
    <definedName name="_xlnm.Print_Area" localSheetId="1">'P-99'!$A$1:$AC$44</definedName>
    <definedName name="_xlnm.Print_Area" localSheetId="4">'Returns with first-lien debt'!$A$3:$AC$58</definedName>
    <definedName name="_xlnm.Print_Area" localSheetId="7">'Returns with quasi-merchant'!$A$3:$AC$71</definedName>
    <definedName name="_xlnm.Print_Area" localSheetId="5">'Returns with second-lien debt'!$A$7:$AC$71</definedName>
    <definedName name="_xlnm.Print_Area" localSheetId="6">'Returns with TLB cash sweep'!$A$4:$AC$53</definedName>
    <definedName name="solver_adj" localSheetId="6" hidden="1">'Returns with TLB cash sweep'!$D$45</definedName>
    <definedName name="solver_cvg" localSheetId="6" hidden="1">0.0001</definedName>
    <definedName name="solver_drv" localSheetId="6" hidden="1">1</definedName>
    <definedName name="solver_eng" localSheetId="6" hidden="1">1</definedName>
    <definedName name="solver_est" localSheetId="6" hidden="1">1</definedName>
    <definedName name="solver_itr" localSheetId="6" hidden="1">2147483647</definedName>
    <definedName name="solver_mip" localSheetId="6" hidden="1">2147483647</definedName>
    <definedName name="solver_mni" localSheetId="6" hidden="1">30</definedName>
    <definedName name="solver_mrt" localSheetId="6" hidden="1">0.075</definedName>
    <definedName name="solver_msl" localSheetId="6" hidden="1">2</definedName>
    <definedName name="solver_neg" localSheetId="6" hidden="1">1</definedName>
    <definedName name="solver_nod" localSheetId="6" hidden="1">2147483647</definedName>
    <definedName name="solver_num" localSheetId="6" hidden="1">0</definedName>
    <definedName name="solver_nwt" localSheetId="6" hidden="1">1</definedName>
    <definedName name="solver_opt" localSheetId="6" hidden="1">'Returns with TLB cash sweep'!$D$47</definedName>
    <definedName name="solver_pre" localSheetId="6" hidden="1">0.000001</definedName>
    <definedName name="solver_rbv" localSheetId="6" hidden="1">1</definedName>
    <definedName name="solver_rlx" localSheetId="6" hidden="1">2</definedName>
    <definedName name="solver_rsd" localSheetId="6" hidden="1">0</definedName>
    <definedName name="solver_scl" localSheetId="6" hidden="1">1</definedName>
    <definedName name="solver_sho" localSheetId="6" hidden="1">2</definedName>
    <definedName name="solver_ssz" localSheetId="6" hidden="1">100</definedName>
    <definedName name="solver_tim" localSheetId="6" hidden="1">2147483647</definedName>
    <definedName name="solver_tol" localSheetId="6" hidden="1">0.01</definedName>
    <definedName name="solver_typ" localSheetId="6" hidden="1">3</definedName>
    <definedName name="solver_val" localSheetId="6" hidden="1">0</definedName>
    <definedName name="solver_ver" localSheetId="6" hidden="1">3</definedName>
  </definedNames>
  <calcPr calcId="152511" calcMode="autoNoTable" iterate="1" iterateDelta="1.0000000000000001E-5"/>
</workbook>
</file>

<file path=xl/calcChain.xml><?xml version="1.0" encoding="utf-8"?>
<calcChain xmlns="http://schemas.openxmlformats.org/spreadsheetml/2006/main">
  <c r="D59" i="9" l="1"/>
  <c r="F43" i="8"/>
  <c r="G43" i="8"/>
  <c r="H43" i="8"/>
  <c r="I43" i="8"/>
  <c r="J43" i="8"/>
  <c r="K43" i="8"/>
  <c r="L43" i="8"/>
  <c r="M43" i="8"/>
  <c r="N43" i="8"/>
  <c r="O43" i="8"/>
  <c r="P43" i="8"/>
  <c r="Q43" i="8"/>
  <c r="R43" i="8"/>
  <c r="S43" i="8"/>
  <c r="T43" i="8"/>
  <c r="U43" i="8"/>
  <c r="V43" i="8"/>
  <c r="W43" i="8"/>
  <c r="X43" i="8"/>
  <c r="Y43" i="8"/>
  <c r="Z43" i="8"/>
  <c r="AA43" i="8"/>
  <c r="AB43" i="8"/>
  <c r="AC43" i="8"/>
  <c r="E43" i="8"/>
  <c r="AC41" i="7"/>
  <c r="AC42" i="7" s="1"/>
  <c r="AB41" i="7"/>
  <c r="AA41" i="7"/>
  <c r="Z41" i="7"/>
  <c r="Y41" i="7"/>
  <c r="X41" i="7"/>
  <c r="W41" i="7"/>
  <c r="V41" i="7"/>
  <c r="U41" i="7"/>
  <c r="U42" i="7" s="1"/>
  <c r="T41" i="7"/>
  <c r="S41" i="7"/>
  <c r="R41" i="7"/>
  <c r="Q41" i="7"/>
  <c r="P41" i="7"/>
  <c r="O41" i="7"/>
  <c r="N41" i="7"/>
  <c r="M41" i="7"/>
  <c r="M42" i="7" s="1"/>
  <c r="L41" i="7"/>
  <c r="K41" i="7"/>
  <c r="J41" i="7"/>
  <c r="I41" i="7"/>
  <c r="H41" i="7"/>
  <c r="G41" i="7"/>
  <c r="F41" i="7"/>
  <c r="E41" i="7"/>
  <c r="E42" i="7" s="1"/>
  <c r="AC40" i="7"/>
  <c r="AB40" i="7"/>
  <c r="AB42" i="7" s="1"/>
  <c r="AA40" i="7"/>
  <c r="Z40" i="7"/>
  <c r="Y40" i="7"/>
  <c r="X40" i="7"/>
  <c r="X42" i="7" s="1"/>
  <c r="W40" i="7"/>
  <c r="V40" i="7"/>
  <c r="V42" i="7" s="1"/>
  <c r="U40" i="7"/>
  <c r="T40" i="7"/>
  <c r="T42" i="7" s="1"/>
  <c r="S40" i="7"/>
  <c r="R40" i="7"/>
  <c r="Q40" i="7"/>
  <c r="Q42" i="7" s="1"/>
  <c r="P40" i="7"/>
  <c r="P42" i="7" s="1"/>
  <c r="O40" i="7"/>
  <c r="N40" i="7"/>
  <c r="N42" i="7" s="1"/>
  <c r="M40" i="7"/>
  <c r="L40" i="7"/>
  <c r="L42" i="7" s="1"/>
  <c r="K40" i="7"/>
  <c r="J40" i="7"/>
  <c r="I40" i="7"/>
  <c r="H40" i="7"/>
  <c r="H42" i="7" s="1"/>
  <c r="G40" i="7"/>
  <c r="F40" i="7"/>
  <c r="F42" i="7" s="1"/>
  <c r="E40" i="7"/>
  <c r="F38" i="3"/>
  <c r="G38" i="3"/>
  <c r="H38" i="3"/>
  <c r="I38" i="3"/>
  <c r="J38" i="3"/>
  <c r="K38" i="3"/>
  <c r="K40" i="3" s="1"/>
  <c r="L38" i="3"/>
  <c r="M38" i="3"/>
  <c r="N38" i="3"/>
  <c r="O38" i="3"/>
  <c r="O40" i="3" s="1"/>
  <c r="P38" i="3"/>
  <c r="Q38" i="3"/>
  <c r="R38" i="3"/>
  <c r="S38" i="3"/>
  <c r="S40" i="3" s="1"/>
  <c r="T38" i="3"/>
  <c r="U38" i="3"/>
  <c r="V38" i="3"/>
  <c r="W38" i="3"/>
  <c r="X38" i="3"/>
  <c r="Y38" i="3"/>
  <c r="Z38" i="3"/>
  <c r="AA38" i="3"/>
  <c r="AA40" i="3" s="1"/>
  <c r="AB38" i="3"/>
  <c r="AC38" i="3"/>
  <c r="F39" i="3"/>
  <c r="G39" i="3"/>
  <c r="H39" i="3"/>
  <c r="I39" i="3"/>
  <c r="J39" i="3"/>
  <c r="K39" i="3"/>
  <c r="L39" i="3"/>
  <c r="M39" i="3"/>
  <c r="N39" i="3"/>
  <c r="O39" i="3"/>
  <c r="P39" i="3"/>
  <c r="Q39" i="3"/>
  <c r="R39" i="3"/>
  <c r="S39" i="3"/>
  <c r="T39" i="3"/>
  <c r="U39" i="3"/>
  <c r="V39" i="3"/>
  <c r="W39" i="3"/>
  <c r="X39" i="3"/>
  <c r="Y39" i="3"/>
  <c r="Z39" i="3"/>
  <c r="AA39" i="3"/>
  <c r="AB39" i="3"/>
  <c r="AC39" i="3"/>
  <c r="E39" i="3"/>
  <c r="E38" i="3"/>
  <c r="Y40" i="3"/>
  <c r="F40" i="3"/>
  <c r="G40" i="3"/>
  <c r="H40" i="3"/>
  <c r="I40" i="3"/>
  <c r="J40" i="3"/>
  <c r="L40" i="3"/>
  <c r="M40" i="3"/>
  <c r="N40" i="3"/>
  <c r="P40" i="3"/>
  <c r="Q40" i="3"/>
  <c r="R40" i="3"/>
  <c r="T40" i="3"/>
  <c r="U40" i="3"/>
  <c r="V40" i="3"/>
  <c r="W40" i="3"/>
  <c r="X40" i="3"/>
  <c r="Z40" i="3"/>
  <c r="AB40" i="3"/>
  <c r="AC40" i="3"/>
  <c r="E40" i="3"/>
  <c r="O44" i="8"/>
  <c r="P44" i="8"/>
  <c r="Q44" i="8"/>
  <c r="R44" i="8"/>
  <c r="S44" i="8"/>
  <c r="T44" i="8"/>
  <c r="U44" i="8"/>
  <c r="V44" i="8"/>
  <c r="W44" i="8"/>
  <c r="X44" i="8"/>
  <c r="Y44" i="8"/>
  <c r="Z44" i="8"/>
  <c r="AA44" i="8"/>
  <c r="AB44" i="8"/>
  <c r="AC44" i="8"/>
  <c r="M58" i="9" l="1"/>
  <c r="G58" i="9"/>
  <c r="H58" i="9"/>
  <c r="I58" i="9"/>
  <c r="F58" i="9"/>
  <c r="J58" i="9"/>
  <c r="E58" i="9"/>
  <c r="K58" i="9"/>
  <c r="L58" i="9"/>
  <c r="I42" i="7"/>
  <c r="Y42" i="7"/>
  <c r="K42" i="7"/>
  <c r="S42" i="7"/>
  <c r="AA42" i="7"/>
  <c r="J42" i="7"/>
  <c r="R42" i="7"/>
  <c r="Z42" i="7"/>
  <c r="G42" i="7"/>
  <c r="O42" i="7"/>
  <c r="W42" i="7"/>
  <c r="D45" i="3"/>
  <c r="E42" i="3" s="1"/>
  <c r="E43" i="3" s="1"/>
  <c r="E44" i="3" s="1"/>
  <c r="E45" i="3" s="1"/>
  <c r="F42" i="3" s="1"/>
  <c r="AC51" i="9"/>
  <c r="AB51" i="9"/>
  <c r="AA51" i="9"/>
  <c r="Z51" i="9"/>
  <c r="Y51" i="9"/>
  <c r="X51" i="9"/>
  <c r="W51" i="9"/>
  <c r="V51" i="9"/>
  <c r="U51" i="9"/>
  <c r="T51" i="9"/>
  <c r="S51" i="9"/>
  <c r="R51" i="9"/>
  <c r="Q51" i="9"/>
  <c r="P51" i="9"/>
  <c r="O51" i="9"/>
  <c r="AC48" i="9"/>
  <c r="AB48" i="9"/>
  <c r="AA48" i="9"/>
  <c r="Z48" i="9"/>
  <c r="Y48" i="9"/>
  <c r="X48" i="9"/>
  <c r="W48" i="9"/>
  <c r="V48" i="9"/>
  <c r="U48" i="9"/>
  <c r="T48" i="9"/>
  <c r="S48" i="9"/>
  <c r="R48" i="9"/>
  <c r="Q48" i="9"/>
  <c r="P48" i="9"/>
  <c r="O48" i="9"/>
  <c r="AC49" i="9"/>
  <c r="AB49" i="9"/>
  <c r="AA49" i="9"/>
  <c r="Z49" i="9"/>
  <c r="Y49" i="9"/>
  <c r="X49" i="9"/>
  <c r="W49" i="9"/>
  <c r="V49" i="9"/>
  <c r="U49" i="9"/>
  <c r="T49" i="9"/>
  <c r="S49" i="9"/>
  <c r="R49" i="9"/>
  <c r="Q49" i="9"/>
  <c r="P49" i="9"/>
  <c r="O49" i="9"/>
  <c r="AC47" i="9"/>
  <c r="AB47" i="9"/>
  <c r="AA47" i="9"/>
  <c r="Z47" i="9"/>
  <c r="Y47" i="9"/>
  <c r="X47" i="9"/>
  <c r="W47" i="9"/>
  <c r="V47" i="9"/>
  <c r="U47" i="9"/>
  <c r="T47" i="9"/>
  <c r="S47" i="9"/>
  <c r="R47" i="9"/>
  <c r="Q47" i="9"/>
  <c r="P47" i="9"/>
  <c r="O47" i="9"/>
  <c r="AC31" i="9"/>
  <c r="AB31" i="9"/>
  <c r="AA31" i="9"/>
  <c r="Z31" i="9"/>
  <c r="Y31" i="9"/>
  <c r="X31" i="9"/>
  <c r="W31" i="9"/>
  <c r="V31" i="9"/>
  <c r="U31" i="9"/>
  <c r="T31" i="9"/>
  <c r="S31" i="9"/>
  <c r="R31" i="9"/>
  <c r="Q31" i="9"/>
  <c r="P31" i="9"/>
  <c r="O31" i="9"/>
  <c r="N31" i="9"/>
  <c r="M31" i="9"/>
  <c r="L31" i="9"/>
  <c r="K31" i="9"/>
  <c r="J31" i="9"/>
  <c r="I31" i="9"/>
  <c r="H31" i="9"/>
  <c r="G31" i="9"/>
  <c r="F31" i="9"/>
  <c r="E31" i="9"/>
  <c r="C23" i="9"/>
  <c r="AC49" i="8"/>
  <c r="AB49" i="8"/>
  <c r="AA49" i="8"/>
  <c r="Z49" i="8"/>
  <c r="Y49" i="8"/>
  <c r="X49" i="8"/>
  <c r="W49" i="8"/>
  <c r="V49" i="8"/>
  <c r="U49" i="8"/>
  <c r="T49" i="8"/>
  <c r="S49" i="8"/>
  <c r="R49" i="8"/>
  <c r="Q49" i="8"/>
  <c r="P49" i="8"/>
  <c r="O49" i="8"/>
  <c r="AC45" i="8"/>
  <c r="AB45" i="8"/>
  <c r="AA45" i="8"/>
  <c r="Z45" i="8"/>
  <c r="Y45" i="8"/>
  <c r="X45" i="8"/>
  <c r="W45" i="8"/>
  <c r="V45" i="8"/>
  <c r="U45" i="8"/>
  <c r="T45" i="8"/>
  <c r="S45" i="8"/>
  <c r="R45" i="8"/>
  <c r="Q45" i="8"/>
  <c r="P45" i="8"/>
  <c r="O45" i="8"/>
  <c r="AC42" i="8"/>
  <c r="AB42" i="8"/>
  <c r="AA42" i="8"/>
  <c r="Z42" i="8"/>
  <c r="Y42" i="8"/>
  <c r="X42" i="8"/>
  <c r="W42" i="8"/>
  <c r="V42" i="8"/>
  <c r="U42" i="8"/>
  <c r="T42" i="8"/>
  <c r="S42" i="8"/>
  <c r="R42" i="8"/>
  <c r="Q42" i="8"/>
  <c r="P42" i="8"/>
  <c r="O42" i="8"/>
  <c r="E42" i="8"/>
  <c r="E44" i="8" s="1"/>
  <c r="AC28" i="8"/>
  <c r="AB28" i="8"/>
  <c r="AA28" i="8"/>
  <c r="Z28" i="8"/>
  <c r="Y28" i="8"/>
  <c r="X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C20" i="8"/>
  <c r="AC28" i="7"/>
  <c r="AB28" i="7"/>
  <c r="AA28" i="7"/>
  <c r="Z28" i="7"/>
  <c r="Y28" i="7"/>
  <c r="X28" i="7"/>
  <c r="W28" i="7"/>
  <c r="V28" i="7"/>
  <c r="U28" i="7"/>
  <c r="T28" i="7"/>
  <c r="S28" i="7"/>
  <c r="R28" i="7"/>
  <c r="Q28" i="7"/>
  <c r="P28" i="7"/>
  <c r="O28" i="7"/>
  <c r="N28" i="7"/>
  <c r="M28" i="7"/>
  <c r="L28" i="7"/>
  <c r="K28" i="7"/>
  <c r="J28" i="7"/>
  <c r="I28" i="7"/>
  <c r="H28" i="7"/>
  <c r="G28" i="7"/>
  <c r="F28" i="7"/>
  <c r="E28" i="7"/>
  <c r="C20" i="7"/>
  <c r="C18" i="3"/>
  <c r="AC27" i="2"/>
  <c r="AB27" i="2"/>
  <c r="AA27" i="2"/>
  <c r="Z27" i="2"/>
  <c r="Y27" i="2"/>
  <c r="X27" i="2"/>
  <c r="W27" i="2"/>
  <c r="V27" i="2"/>
  <c r="U27" i="2"/>
  <c r="T27" i="2"/>
  <c r="S27" i="2"/>
  <c r="R27" i="2"/>
  <c r="Q27" i="2"/>
  <c r="P27" i="2"/>
  <c r="O27" i="2"/>
  <c r="N27" i="2"/>
  <c r="M27" i="2"/>
  <c r="L27" i="2"/>
  <c r="K27" i="2"/>
  <c r="J27" i="2"/>
  <c r="I27" i="2"/>
  <c r="H27" i="2"/>
  <c r="G27" i="2"/>
  <c r="F27" i="2"/>
  <c r="AC26" i="2"/>
  <c r="AB26" i="2"/>
  <c r="AA26" i="2"/>
  <c r="Z26" i="2"/>
  <c r="Y26" i="2"/>
  <c r="X26" i="2"/>
  <c r="W26" i="2"/>
  <c r="V26" i="2"/>
  <c r="U26" i="2"/>
  <c r="T26" i="2"/>
  <c r="S26" i="2"/>
  <c r="R26" i="2"/>
  <c r="Q26" i="2"/>
  <c r="P26" i="2"/>
  <c r="O26" i="2"/>
  <c r="N26" i="2"/>
  <c r="M26" i="2"/>
  <c r="L26" i="2"/>
  <c r="K26" i="2"/>
  <c r="J26" i="2"/>
  <c r="I26" i="2"/>
  <c r="H26" i="2"/>
  <c r="G26" i="2"/>
  <c r="F26" i="2"/>
  <c r="E27" i="2"/>
  <c r="E26" i="2"/>
  <c r="D47" i="7" l="1"/>
  <c r="E44" i="7" s="1"/>
  <c r="E45" i="7" s="1"/>
  <c r="E46" i="7" s="1"/>
  <c r="E47" i="7" s="1"/>
  <c r="F44" i="7" s="1"/>
  <c r="F45" i="7" s="1"/>
  <c r="F46" i="7" s="1"/>
  <c r="F47" i="7" s="1"/>
  <c r="G44" i="7" s="1"/>
  <c r="G45" i="7" s="1"/>
  <c r="G46" i="7" s="1"/>
  <c r="G47" i="7" s="1"/>
  <c r="H44" i="7" s="1"/>
  <c r="H45" i="7" s="1"/>
  <c r="H46" i="7" s="1"/>
  <c r="H47" i="7" s="1"/>
  <c r="I44" i="7" s="1"/>
  <c r="F43" i="3"/>
  <c r="F44" i="3" s="1"/>
  <c r="F45" i="3" s="1"/>
  <c r="G42" i="3" s="1"/>
  <c r="G43" i="3" s="1"/>
  <c r="G44" i="3" s="1"/>
  <c r="G45" i="3" s="1"/>
  <c r="H42" i="3" s="1"/>
  <c r="H43" i="3" s="1"/>
  <c r="H44" i="3" s="1"/>
  <c r="H45" i="3" s="1"/>
  <c r="I42" i="3" s="1"/>
  <c r="I43" i="3" s="1"/>
  <c r="I44" i="3" s="1"/>
  <c r="I45" i="3" s="1"/>
  <c r="J42" i="3" s="1"/>
  <c r="AC26" i="3"/>
  <c r="AB26" i="3"/>
  <c r="AA26" i="3"/>
  <c r="Z26" i="3"/>
  <c r="Y26" i="3"/>
  <c r="X26" i="3"/>
  <c r="W26" i="3"/>
  <c r="V26" i="3"/>
  <c r="U26" i="3"/>
  <c r="T26" i="3"/>
  <c r="S26" i="3"/>
  <c r="R26" i="3"/>
  <c r="Q26" i="3"/>
  <c r="P26" i="3"/>
  <c r="O26" i="3"/>
  <c r="N26" i="3"/>
  <c r="M26" i="3"/>
  <c r="L26" i="3"/>
  <c r="K26" i="3"/>
  <c r="J26" i="3"/>
  <c r="I26" i="3"/>
  <c r="H26" i="3"/>
  <c r="G26" i="3"/>
  <c r="F26" i="3"/>
  <c r="E26" i="3"/>
  <c r="AC32" i="2"/>
  <c r="AB32" i="2"/>
  <c r="AA32" i="2"/>
  <c r="Z32" i="2"/>
  <c r="Y32" i="2"/>
  <c r="X32" i="2"/>
  <c r="W32" i="2"/>
  <c r="V32" i="2"/>
  <c r="U32" i="2"/>
  <c r="T32" i="2"/>
  <c r="S32" i="2"/>
  <c r="R32" i="2"/>
  <c r="Q32" i="2"/>
  <c r="P32" i="2"/>
  <c r="O32" i="2"/>
  <c r="N32" i="2"/>
  <c r="M32" i="2"/>
  <c r="L32" i="2"/>
  <c r="K32" i="2"/>
  <c r="J32" i="2"/>
  <c r="I32" i="2"/>
  <c r="H32" i="2"/>
  <c r="G32" i="2"/>
  <c r="F32" i="2"/>
  <c r="E32" i="2"/>
  <c r="AC24" i="2"/>
  <c r="AB24" i="2"/>
  <c r="AA24" i="2"/>
  <c r="Z24" i="2"/>
  <c r="Y24" i="2"/>
  <c r="X24" i="2"/>
  <c r="W24" i="2"/>
  <c r="V24" i="2"/>
  <c r="U24" i="2"/>
  <c r="T24" i="2"/>
  <c r="S24" i="2"/>
  <c r="R24" i="2"/>
  <c r="Q24" i="2"/>
  <c r="P24" i="2"/>
  <c r="O24" i="2"/>
  <c r="N24" i="2"/>
  <c r="M24" i="2"/>
  <c r="L24" i="2"/>
  <c r="K24" i="2"/>
  <c r="J24" i="2"/>
  <c r="I24" i="2"/>
  <c r="H24" i="2"/>
  <c r="G24" i="2"/>
  <c r="F24" i="2"/>
  <c r="E24" i="2"/>
  <c r="I45" i="7" l="1"/>
  <c r="I46" i="7" s="1"/>
  <c r="I47" i="7" s="1"/>
  <c r="J44" i="7" s="1"/>
  <c r="J43" i="3"/>
  <c r="J44" i="3" s="1"/>
  <c r="J45" i="3" s="1"/>
  <c r="K42" i="3" s="1"/>
  <c r="AC24" i="1"/>
  <c r="AB24" i="1"/>
  <c r="AA24" i="1"/>
  <c r="Z24" i="1"/>
  <c r="Y24" i="1"/>
  <c r="X24" i="1"/>
  <c r="W24" i="1"/>
  <c r="V24" i="1"/>
  <c r="U24" i="1"/>
  <c r="T24" i="1"/>
  <c r="S24" i="1"/>
  <c r="R24" i="1"/>
  <c r="Q24" i="1"/>
  <c r="P24" i="1"/>
  <c r="O24" i="1"/>
  <c r="N24" i="1"/>
  <c r="M24" i="1"/>
  <c r="L24" i="1"/>
  <c r="K24" i="1"/>
  <c r="J24" i="1"/>
  <c r="I24" i="1"/>
  <c r="H24" i="1"/>
  <c r="G24" i="1"/>
  <c r="F24" i="1"/>
  <c r="E24" i="1"/>
  <c r="J45" i="7" l="1"/>
  <c r="J46" i="7" s="1"/>
  <c r="J47" i="7" s="1"/>
  <c r="K44" i="7" s="1"/>
  <c r="K43" i="3"/>
  <c r="K44" i="3" s="1"/>
  <c r="K45" i="3" s="1"/>
  <c r="L42" i="3" s="1"/>
  <c r="D51" i="8"/>
  <c r="O52" i="9"/>
  <c r="P52" i="9"/>
  <c r="Q52" i="9"/>
  <c r="R52" i="9"/>
  <c r="S52" i="9"/>
  <c r="T52" i="9"/>
  <c r="U52" i="9"/>
  <c r="V52" i="9"/>
  <c r="W52" i="9"/>
  <c r="X52" i="9"/>
  <c r="Y52" i="9"/>
  <c r="Z52" i="9"/>
  <c r="AA52" i="9"/>
  <c r="AB52" i="9"/>
  <c r="AC52" i="9"/>
  <c r="E56" i="9"/>
  <c r="E59" i="9" s="1"/>
  <c r="AC44" i="9"/>
  <c r="AB44" i="9"/>
  <c r="AA44" i="9"/>
  <c r="Z44" i="9"/>
  <c r="Y44" i="9"/>
  <c r="X44" i="9"/>
  <c r="W44" i="9"/>
  <c r="V44" i="9"/>
  <c r="U44" i="9"/>
  <c r="T44" i="9"/>
  <c r="S44" i="9"/>
  <c r="R44" i="9"/>
  <c r="Q44" i="9"/>
  <c r="P44" i="9"/>
  <c r="O44" i="9"/>
  <c r="AC34" i="9"/>
  <c r="AC39" i="9" s="1"/>
  <c r="AB34" i="9"/>
  <c r="AB39" i="9" s="1"/>
  <c r="AA34" i="9"/>
  <c r="AA39" i="9" s="1"/>
  <c r="Z34" i="9"/>
  <c r="Z39" i="9" s="1"/>
  <c r="Y34" i="9"/>
  <c r="Y39" i="9" s="1"/>
  <c r="X34" i="9"/>
  <c r="X39" i="9" s="1"/>
  <c r="W34" i="9"/>
  <c r="W39" i="9" s="1"/>
  <c r="V34" i="9"/>
  <c r="V39" i="9" s="1"/>
  <c r="U34" i="9"/>
  <c r="U39" i="9" s="1"/>
  <c r="T34" i="9"/>
  <c r="T39" i="9" s="1"/>
  <c r="S34" i="9"/>
  <c r="S39" i="9" s="1"/>
  <c r="R34" i="9"/>
  <c r="R39" i="9" s="1"/>
  <c r="Q34" i="9"/>
  <c r="Q39" i="9" s="1"/>
  <c r="P34" i="9"/>
  <c r="P39" i="9" s="1"/>
  <c r="O34" i="9"/>
  <c r="O39" i="9" s="1"/>
  <c r="N34" i="9"/>
  <c r="N39" i="9" s="1"/>
  <c r="M34" i="9"/>
  <c r="M39" i="9" s="1"/>
  <c r="L34" i="9"/>
  <c r="L39" i="9" s="1"/>
  <c r="K34" i="9"/>
  <c r="K39" i="9" s="1"/>
  <c r="J34" i="9"/>
  <c r="J39" i="9" s="1"/>
  <c r="I34" i="9"/>
  <c r="I39" i="9" s="1"/>
  <c r="H34" i="9"/>
  <c r="H39" i="9" s="1"/>
  <c r="G34" i="9"/>
  <c r="G39" i="9" s="1"/>
  <c r="F34" i="9"/>
  <c r="F39" i="9" s="1"/>
  <c r="E34" i="9"/>
  <c r="E39" i="9" s="1"/>
  <c r="AC33" i="9"/>
  <c r="AC36" i="9" s="1"/>
  <c r="AC38" i="9" s="1"/>
  <c r="AB33" i="9"/>
  <c r="AB36" i="9" s="1"/>
  <c r="AB38" i="9" s="1"/>
  <c r="AB40" i="9" s="1"/>
  <c r="AA33" i="9"/>
  <c r="AA36" i="9" s="1"/>
  <c r="AA38" i="9" s="1"/>
  <c r="Z33" i="9"/>
  <c r="Z36" i="9" s="1"/>
  <c r="Z38" i="9" s="1"/>
  <c r="Y33" i="9"/>
  <c r="Y36" i="9" s="1"/>
  <c r="Y38" i="9" s="1"/>
  <c r="X33" i="9"/>
  <c r="X36" i="9" s="1"/>
  <c r="X38" i="9" s="1"/>
  <c r="W33" i="9"/>
  <c r="W36" i="9" s="1"/>
  <c r="W38" i="9" s="1"/>
  <c r="V33" i="9"/>
  <c r="V36" i="9" s="1"/>
  <c r="V38" i="9" s="1"/>
  <c r="U33" i="9"/>
  <c r="U36" i="9" s="1"/>
  <c r="U38" i="9" s="1"/>
  <c r="T33" i="9"/>
  <c r="T36" i="9" s="1"/>
  <c r="T38" i="9" s="1"/>
  <c r="T40" i="9" s="1"/>
  <c r="S33" i="9"/>
  <c r="S36" i="9" s="1"/>
  <c r="S38" i="9" s="1"/>
  <c r="S40" i="9" s="1"/>
  <c r="R33" i="9"/>
  <c r="R36" i="9" s="1"/>
  <c r="R38" i="9" s="1"/>
  <c r="Q33" i="9"/>
  <c r="Q36" i="9" s="1"/>
  <c r="Q38" i="9" s="1"/>
  <c r="P33" i="9"/>
  <c r="P36" i="9" s="1"/>
  <c r="P38" i="9" s="1"/>
  <c r="O33" i="9"/>
  <c r="O36" i="9" s="1"/>
  <c r="O38" i="9" s="1"/>
  <c r="N33" i="9"/>
  <c r="N36" i="9" s="1"/>
  <c r="N38" i="9" s="1"/>
  <c r="M33" i="9"/>
  <c r="M36" i="9" s="1"/>
  <c r="M38" i="9" s="1"/>
  <c r="L33" i="9"/>
  <c r="L36" i="9" s="1"/>
  <c r="L38" i="9" s="1"/>
  <c r="K33" i="9"/>
  <c r="K36" i="9" s="1"/>
  <c r="K38" i="9" s="1"/>
  <c r="J33" i="9"/>
  <c r="J36" i="9" s="1"/>
  <c r="J38" i="9" s="1"/>
  <c r="I33" i="9"/>
  <c r="I36" i="9" s="1"/>
  <c r="I38" i="9" s="1"/>
  <c r="H33" i="9"/>
  <c r="H36" i="9" s="1"/>
  <c r="H38" i="9" s="1"/>
  <c r="G33" i="9"/>
  <c r="G36" i="9" s="1"/>
  <c r="G38" i="9" s="1"/>
  <c r="G40" i="9" s="1"/>
  <c r="F33" i="9"/>
  <c r="F36" i="9" s="1"/>
  <c r="F38" i="9" s="1"/>
  <c r="E33" i="9"/>
  <c r="E36" i="9" s="1"/>
  <c r="E38" i="9" s="1"/>
  <c r="H40" i="9" l="1"/>
  <c r="P40" i="9"/>
  <c r="P42" i="9" s="1"/>
  <c r="P64" i="9" s="1"/>
  <c r="N40" i="9"/>
  <c r="V40" i="9"/>
  <c r="V42" i="9" s="1"/>
  <c r="V64" i="9" s="1"/>
  <c r="J40" i="9"/>
  <c r="J42" i="9" s="1"/>
  <c r="Z40" i="9"/>
  <c r="Z42" i="9" s="1"/>
  <c r="Z64" i="9" s="1"/>
  <c r="K45" i="7"/>
  <c r="K46" i="7" s="1"/>
  <c r="K47" i="7" s="1"/>
  <c r="L44" i="7" s="1"/>
  <c r="L43" i="3"/>
  <c r="L44" i="3" s="1"/>
  <c r="L45" i="3" s="1"/>
  <c r="M42" i="3" s="1"/>
  <c r="M40" i="9"/>
  <c r="Y40" i="9"/>
  <c r="Y42" i="9" s="1"/>
  <c r="Y64" i="9" s="1"/>
  <c r="F40" i="9"/>
  <c r="F42" i="9" s="1"/>
  <c r="I40" i="9"/>
  <c r="I42" i="9" s="1"/>
  <c r="U40" i="9"/>
  <c r="U42" i="9" s="1"/>
  <c r="U64" i="9" s="1"/>
  <c r="L40" i="9"/>
  <c r="L42" i="9" s="1"/>
  <c r="X40" i="9"/>
  <c r="X42" i="9" s="1"/>
  <c r="X64" i="9" s="1"/>
  <c r="O40" i="9"/>
  <c r="O42" i="9" s="1"/>
  <c r="O64" i="9" s="1"/>
  <c r="AA40" i="9"/>
  <c r="AA42" i="9" s="1"/>
  <c r="AA64" i="9" s="1"/>
  <c r="K40" i="9"/>
  <c r="K42" i="9" s="1"/>
  <c r="W40" i="9"/>
  <c r="W42" i="9" s="1"/>
  <c r="W64" i="9" s="1"/>
  <c r="E40" i="9"/>
  <c r="E42" i="9" s="1"/>
  <c r="Q40" i="9"/>
  <c r="Q42" i="9" s="1"/>
  <c r="Q64" i="9" s="1"/>
  <c r="AC40" i="9"/>
  <c r="AC42" i="9" s="1"/>
  <c r="AC64" i="9" s="1"/>
  <c r="R40" i="9"/>
  <c r="R42" i="9" s="1"/>
  <c r="R64" i="9" s="1"/>
  <c r="E57" i="9"/>
  <c r="E61" i="9" s="1"/>
  <c r="M42" i="9"/>
  <c r="H42" i="9"/>
  <c r="T42" i="9"/>
  <c r="T64" i="9" s="1"/>
  <c r="AB42" i="9"/>
  <c r="AB64" i="9" s="1"/>
  <c r="N42" i="9"/>
  <c r="G42" i="9"/>
  <c r="S42" i="9"/>
  <c r="S64" i="9" s="1"/>
  <c r="AC41" i="8"/>
  <c r="AB41" i="8"/>
  <c r="AA41" i="8"/>
  <c r="Z41" i="8"/>
  <c r="Y41" i="8"/>
  <c r="X41" i="8"/>
  <c r="W41" i="8"/>
  <c r="V41" i="8"/>
  <c r="U41" i="8"/>
  <c r="T41" i="8"/>
  <c r="S41" i="8"/>
  <c r="R41" i="8"/>
  <c r="Q41" i="8"/>
  <c r="P41" i="8"/>
  <c r="O41" i="8"/>
  <c r="E41" i="8"/>
  <c r="E45" i="8" s="1"/>
  <c r="AC31" i="8"/>
  <c r="AC36" i="8" s="1"/>
  <c r="AB31" i="8"/>
  <c r="AB36" i="8" s="1"/>
  <c r="AA31" i="8"/>
  <c r="AA36" i="8" s="1"/>
  <c r="Z31" i="8"/>
  <c r="Z36" i="8" s="1"/>
  <c r="Y31" i="8"/>
  <c r="Y36" i="8" s="1"/>
  <c r="X31" i="8"/>
  <c r="X36" i="8" s="1"/>
  <c r="W31" i="8"/>
  <c r="W36" i="8" s="1"/>
  <c r="V31" i="8"/>
  <c r="V36" i="8" s="1"/>
  <c r="U31" i="8"/>
  <c r="U36" i="8" s="1"/>
  <c r="T31" i="8"/>
  <c r="T36" i="8" s="1"/>
  <c r="S31" i="8"/>
  <c r="S36" i="8" s="1"/>
  <c r="R31" i="8"/>
  <c r="R36" i="8" s="1"/>
  <c r="Q31" i="8"/>
  <c r="Q36" i="8" s="1"/>
  <c r="P31" i="8"/>
  <c r="P36" i="8" s="1"/>
  <c r="O31" i="8"/>
  <c r="O36" i="8" s="1"/>
  <c r="N31" i="8"/>
  <c r="N36" i="8" s="1"/>
  <c r="M31" i="8"/>
  <c r="M36" i="8" s="1"/>
  <c r="L31" i="8"/>
  <c r="L36" i="8" s="1"/>
  <c r="K31" i="8"/>
  <c r="K36" i="8" s="1"/>
  <c r="J31" i="8"/>
  <c r="J36" i="8" s="1"/>
  <c r="I31" i="8"/>
  <c r="I36" i="8" s="1"/>
  <c r="H31" i="8"/>
  <c r="H36" i="8" s="1"/>
  <c r="G31" i="8"/>
  <c r="G36" i="8" s="1"/>
  <c r="F31" i="8"/>
  <c r="F36" i="8" s="1"/>
  <c r="E31" i="8"/>
  <c r="E36" i="8" s="1"/>
  <c r="AC30" i="8"/>
  <c r="AC33" i="8" s="1"/>
  <c r="AC35" i="8" s="1"/>
  <c r="AB30" i="8"/>
  <c r="AB33" i="8" s="1"/>
  <c r="AB35" i="8" s="1"/>
  <c r="AA30" i="8"/>
  <c r="AA33" i="8" s="1"/>
  <c r="AA35" i="8" s="1"/>
  <c r="Z30" i="8"/>
  <c r="Z33" i="8" s="1"/>
  <c r="Z35" i="8" s="1"/>
  <c r="Z37" i="8" s="1"/>
  <c r="Y30" i="8"/>
  <c r="Y33" i="8" s="1"/>
  <c r="Y35" i="8" s="1"/>
  <c r="Y37" i="8" s="1"/>
  <c r="X30" i="8"/>
  <c r="X33" i="8" s="1"/>
  <c r="X35" i="8" s="1"/>
  <c r="W30" i="8"/>
  <c r="W33" i="8" s="1"/>
  <c r="W35" i="8" s="1"/>
  <c r="V30" i="8"/>
  <c r="V33" i="8" s="1"/>
  <c r="V35" i="8" s="1"/>
  <c r="V37" i="8" s="1"/>
  <c r="U30" i="8"/>
  <c r="U33" i="8" s="1"/>
  <c r="U35" i="8" s="1"/>
  <c r="T30" i="8"/>
  <c r="T33" i="8" s="1"/>
  <c r="T35" i="8" s="1"/>
  <c r="S30" i="8"/>
  <c r="S33" i="8" s="1"/>
  <c r="S35" i="8" s="1"/>
  <c r="S37" i="8" s="1"/>
  <c r="R30" i="8"/>
  <c r="R33" i="8" s="1"/>
  <c r="R35" i="8" s="1"/>
  <c r="R37" i="8" s="1"/>
  <c r="Q30" i="8"/>
  <c r="Q33" i="8" s="1"/>
  <c r="Q35" i="8" s="1"/>
  <c r="P30" i="8"/>
  <c r="P33" i="8" s="1"/>
  <c r="P35" i="8" s="1"/>
  <c r="O30" i="8"/>
  <c r="O33" i="8" s="1"/>
  <c r="O35" i="8" s="1"/>
  <c r="N30" i="8"/>
  <c r="N33" i="8" s="1"/>
  <c r="N35" i="8" s="1"/>
  <c r="N37" i="8" s="1"/>
  <c r="M30" i="8"/>
  <c r="M33" i="8" s="1"/>
  <c r="M35" i="8" s="1"/>
  <c r="M37" i="8" s="1"/>
  <c r="L30" i="8"/>
  <c r="L33" i="8" s="1"/>
  <c r="L35" i="8" s="1"/>
  <c r="K30" i="8"/>
  <c r="K33" i="8" s="1"/>
  <c r="K35" i="8" s="1"/>
  <c r="J30" i="8"/>
  <c r="J33" i="8" s="1"/>
  <c r="J35" i="8" s="1"/>
  <c r="J37" i="8" s="1"/>
  <c r="I30" i="8"/>
  <c r="I33" i="8" s="1"/>
  <c r="I35" i="8" s="1"/>
  <c r="H30" i="8"/>
  <c r="H33" i="8" s="1"/>
  <c r="H35" i="8" s="1"/>
  <c r="G30" i="8"/>
  <c r="G33" i="8" s="1"/>
  <c r="G35" i="8" s="1"/>
  <c r="G37" i="8" s="1"/>
  <c r="F30" i="8"/>
  <c r="F33" i="8" s="1"/>
  <c r="F35" i="8" s="1"/>
  <c r="F37" i="8" s="1"/>
  <c r="E30" i="8"/>
  <c r="E33" i="8" s="1"/>
  <c r="E35" i="8" s="1"/>
  <c r="AC31" i="7"/>
  <c r="AC36" i="7" s="1"/>
  <c r="AB31" i="7"/>
  <c r="AB36" i="7" s="1"/>
  <c r="AA31" i="7"/>
  <c r="AA36" i="7" s="1"/>
  <c r="Z31" i="7"/>
  <c r="Z36" i="7" s="1"/>
  <c r="Y31" i="7"/>
  <c r="Y36" i="7" s="1"/>
  <c r="X31" i="7"/>
  <c r="X36" i="7" s="1"/>
  <c r="W31" i="7"/>
  <c r="W36" i="7" s="1"/>
  <c r="V31" i="7"/>
  <c r="V36" i="7" s="1"/>
  <c r="U31" i="7"/>
  <c r="U36" i="7" s="1"/>
  <c r="T31" i="7"/>
  <c r="T36" i="7" s="1"/>
  <c r="S31" i="7"/>
  <c r="S36" i="7" s="1"/>
  <c r="R31" i="7"/>
  <c r="R36" i="7" s="1"/>
  <c r="Q31" i="7"/>
  <c r="Q36" i="7" s="1"/>
  <c r="P31" i="7"/>
  <c r="P36" i="7" s="1"/>
  <c r="O31" i="7"/>
  <c r="O36" i="7" s="1"/>
  <c r="N31" i="7"/>
  <c r="N36" i="7" s="1"/>
  <c r="M31" i="7"/>
  <c r="M36" i="7" s="1"/>
  <c r="L31" i="7"/>
  <c r="L36" i="7" s="1"/>
  <c r="K31" i="7"/>
  <c r="K36" i="7" s="1"/>
  <c r="J31" i="7"/>
  <c r="J36" i="7" s="1"/>
  <c r="I31" i="7"/>
  <c r="I36" i="7" s="1"/>
  <c r="H31" i="7"/>
  <c r="H36" i="7" s="1"/>
  <c r="G31" i="7"/>
  <c r="G36" i="7" s="1"/>
  <c r="F31" i="7"/>
  <c r="F36" i="7" s="1"/>
  <c r="E31" i="7"/>
  <c r="E36" i="7" s="1"/>
  <c r="AC30" i="7"/>
  <c r="AC33" i="7" s="1"/>
  <c r="AC35" i="7" s="1"/>
  <c r="AB30" i="7"/>
  <c r="AB33" i="7" s="1"/>
  <c r="AB35" i="7" s="1"/>
  <c r="AA30" i="7"/>
  <c r="AA33" i="7" s="1"/>
  <c r="AA35" i="7" s="1"/>
  <c r="Z30" i="7"/>
  <c r="Z33" i="7" s="1"/>
  <c r="Z35" i="7" s="1"/>
  <c r="Y30" i="7"/>
  <c r="Y33" i="7" s="1"/>
  <c r="Y35" i="7" s="1"/>
  <c r="Y37" i="7" s="1"/>
  <c r="X30" i="7"/>
  <c r="X33" i="7" s="1"/>
  <c r="X35" i="7" s="1"/>
  <c r="X37" i="7" s="1"/>
  <c r="W30" i="7"/>
  <c r="W33" i="7" s="1"/>
  <c r="W35" i="7" s="1"/>
  <c r="V30" i="7"/>
  <c r="V33" i="7" s="1"/>
  <c r="V35" i="7" s="1"/>
  <c r="U30" i="7"/>
  <c r="U33" i="7" s="1"/>
  <c r="U35" i="7" s="1"/>
  <c r="T30" i="7"/>
  <c r="T33" i="7" s="1"/>
  <c r="T35" i="7" s="1"/>
  <c r="S30" i="7"/>
  <c r="S33" i="7" s="1"/>
  <c r="S35" i="7" s="1"/>
  <c r="R30" i="7"/>
  <c r="R33" i="7" s="1"/>
  <c r="R35" i="7" s="1"/>
  <c r="Q30" i="7"/>
  <c r="Q33" i="7" s="1"/>
  <c r="Q35" i="7" s="1"/>
  <c r="Q37" i="7" s="1"/>
  <c r="P30" i="7"/>
  <c r="P33" i="7" s="1"/>
  <c r="P35" i="7" s="1"/>
  <c r="P37" i="7" s="1"/>
  <c r="O30" i="7"/>
  <c r="O33" i="7" s="1"/>
  <c r="O35" i="7" s="1"/>
  <c r="N30" i="7"/>
  <c r="N33" i="7" s="1"/>
  <c r="N35" i="7" s="1"/>
  <c r="M30" i="7"/>
  <c r="M33" i="7" s="1"/>
  <c r="M35" i="7" s="1"/>
  <c r="L30" i="7"/>
  <c r="L33" i="7" s="1"/>
  <c r="L35" i="7" s="1"/>
  <c r="L37" i="7" s="1"/>
  <c r="K30" i="7"/>
  <c r="K33" i="7" s="1"/>
  <c r="K35" i="7" s="1"/>
  <c r="J30" i="7"/>
  <c r="J33" i="7" s="1"/>
  <c r="J35" i="7" s="1"/>
  <c r="I30" i="7"/>
  <c r="I33" i="7" s="1"/>
  <c r="I35" i="7" s="1"/>
  <c r="I37" i="7" s="1"/>
  <c r="H30" i="7"/>
  <c r="H33" i="7" s="1"/>
  <c r="H35" i="7" s="1"/>
  <c r="H37" i="7" s="1"/>
  <c r="G30" i="7"/>
  <c r="G33" i="7" s="1"/>
  <c r="G35" i="7" s="1"/>
  <c r="F30" i="7"/>
  <c r="F33" i="7" s="1"/>
  <c r="F35" i="7" s="1"/>
  <c r="E30" i="7"/>
  <c r="E33" i="7" s="1"/>
  <c r="E35" i="7" s="1"/>
  <c r="L45" i="7" l="1"/>
  <c r="L46" i="7" s="1"/>
  <c r="L47" i="7" s="1"/>
  <c r="M44" i="7" s="1"/>
  <c r="K37" i="7"/>
  <c r="K39" i="7" s="1"/>
  <c r="E37" i="7"/>
  <c r="E39" i="7" s="1"/>
  <c r="M37" i="7"/>
  <c r="U37" i="7"/>
  <c r="AC37" i="7"/>
  <c r="AC39" i="7" s="1"/>
  <c r="W37" i="7"/>
  <c r="M43" i="3"/>
  <c r="M44" i="3" s="1"/>
  <c r="M45" i="3" s="1"/>
  <c r="N42" i="3" s="1"/>
  <c r="N37" i="7"/>
  <c r="N39" i="7" s="1"/>
  <c r="Z37" i="7"/>
  <c r="Z39" i="7" s="1"/>
  <c r="L37" i="8"/>
  <c r="P37" i="8"/>
  <c r="P39" i="8" s="1"/>
  <c r="P51" i="8" s="1"/>
  <c r="AB37" i="8"/>
  <c r="Q54" i="9"/>
  <c r="AB54" i="9"/>
  <c r="Z54" i="9"/>
  <c r="R54" i="9"/>
  <c r="I37" i="8"/>
  <c r="U37" i="8"/>
  <c r="O37" i="8"/>
  <c r="O39" i="8" s="1"/>
  <c r="O51" i="8" s="1"/>
  <c r="AA37" i="8"/>
  <c r="AA39" i="8" s="1"/>
  <c r="AA51" i="8" s="1"/>
  <c r="E37" i="8"/>
  <c r="E39" i="8" s="1"/>
  <c r="Q37" i="8"/>
  <c r="AC37" i="8"/>
  <c r="AC39" i="8" s="1"/>
  <c r="AC51" i="8" s="1"/>
  <c r="H37" i="8"/>
  <c r="H39" i="8" s="1"/>
  <c r="T37" i="8"/>
  <c r="T39" i="8" s="1"/>
  <c r="T51" i="8" s="1"/>
  <c r="X37" i="8"/>
  <c r="X39" i="8" s="1"/>
  <c r="X51" i="8" s="1"/>
  <c r="K37" i="8"/>
  <c r="K39" i="8" s="1"/>
  <c r="W37" i="8"/>
  <c r="W39" i="8" s="1"/>
  <c r="W51" i="8" s="1"/>
  <c r="AB37" i="7"/>
  <c r="AB39" i="7" s="1"/>
  <c r="T37" i="7"/>
  <c r="T39" i="7" s="1"/>
  <c r="O37" i="7"/>
  <c r="O39" i="7" s="1"/>
  <c r="AA37" i="7"/>
  <c r="F37" i="7"/>
  <c r="F39" i="7" s="1"/>
  <c r="R37" i="7"/>
  <c r="R39" i="7" s="1"/>
  <c r="J37" i="7"/>
  <c r="J39" i="7" s="1"/>
  <c r="V37" i="7"/>
  <c r="V39" i="7" s="1"/>
  <c r="G37" i="7"/>
  <c r="G39" i="7" s="1"/>
  <c r="S37" i="7"/>
  <c r="S39" i="7" s="1"/>
  <c r="J39" i="8"/>
  <c r="U54" i="9"/>
  <c r="AC54" i="9"/>
  <c r="N39" i="8"/>
  <c r="V54" i="9"/>
  <c r="X54" i="9"/>
  <c r="F39" i="8"/>
  <c r="AA54" i="9"/>
  <c r="Y54" i="9"/>
  <c r="G39" i="8"/>
  <c r="W54" i="9"/>
  <c r="P54" i="9"/>
  <c r="S54" i="9"/>
  <c r="O54" i="9"/>
  <c r="T54" i="9"/>
  <c r="R39" i="8"/>
  <c r="R51" i="8" s="1"/>
  <c r="V39" i="8"/>
  <c r="V51" i="8" s="1"/>
  <c r="Z39" i="8"/>
  <c r="Z51" i="8" s="1"/>
  <c r="N44" i="9"/>
  <c r="E44" i="9"/>
  <c r="I44" i="9"/>
  <c r="F44" i="9"/>
  <c r="G44" i="9"/>
  <c r="H44" i="9"/>
  <c r="K44" i="9"/>
  <c r="J44" i="9"/>
  <c r="L44" i="9"/>
  <c r="M44" i="9"/>
  <c r="L39" i="8"/>
  <c r="AB39" i="8"/>
  <c r="AB51" i="8" s="1"/>
  <c r="S39" i="8"/>
  <c r="S51" i="8" s="1"/>
  <c r="I39" i="8"/>
  <c r="M39" i="8"/>
  <c r="Q39" i="8"/>
  <c r="Q51" i="8" s="1"/>
  <c r="U39" i="8"/>
  <c r="U51" i="8" s="1"/>
  <c r="Y39" i="8"/>
  <c r="Y51" i="8" s="1"/>
  <c r="W39" i="7"/>
  <c r="I39" i="7"/>
  <c r="M39" i="7"/>
  <c r="Q39" i="7"/>
  <c r="U39" i="7"/>
  <c r="Y39" i="7"/>
  <c r="AA39" i="7"/>
  <c r="L39" i="7"/>
  <c r="H39" i="7"/>
  <c r="P39" i="7"/>
  <c r="X39" i="7"/>
  <c r="AC29" i="3"/>
  <c r="AC34" i="3" s="1"/>
  <c r="AB29" i="3"/>
  <c r="AB34" i="3" s="1"/>
  <c r="AA29" i="3"/>
  <c r="AA34" i="3" s="1"/>
  <c r="Z29" i="3"/>
  <c r="Z34" i="3" s="1"/>
  <c r="Y29" i="3"/>
  <c r="Y34" i="3" s="1"/>
  <c r="X29" i="3"/>
  <c r="X34" i="3" s="1"/>
  <c r="W29" i="3"/>
  <c r="W34" i="3" s="1"/>
  <c r="V29" i="3"/>
  <c r="V34" i="3" s="1"/>
  <c r="U29" i="3"/>
  <c r="U34" i="3" s="1"/>
  <c r="T29" i="3"/>
  <c r="T34" i="3" s="1"/>
  <c r="S29" i="3"/>
  <c r="S34" i="3" s="1"/>
  <c r="R29" i="3"/>
  <c r="R34" i="3" s="1"/>
  <c r="Q29" i="3"/>
  <c r="Q34" i="3" s="1"/>
  <c r="P29" i="3"/>
  <c r="P34" i="3" s="1"/>
  <c r="O29" i="3"/>
  <c r="O34" i="3" s="1"/>
  <c r="N29" i="3"/>
  <c r="N34" i="3" s="1"/>
  <c r="M29" i="3"/>
  <c r="M34" i="3" s="1"/>
  <c r="L29" i="3"/>
  <c r="L34" i="3" s="1"/>
  <c r="K29" i="3"/>
  <c r="K34" i="3" s="1"/>
  <c r="J29" i="3"/>
  <c r="J34" i="3" s="1"/>
  <c r="I29" i="3"/>
  <c r="I34" i="3" s="1"/>
  <c r="H29" i="3"/>
  <c r="H34" i="3" s="1"/>
  <c r="G29" i="3"/>
  <c r="G34" i="3" s="1"/>
  <c r="F29" i="3"/>
  <c r="F34" i="3" s="1"/>
  <c r="E29" i="3"/>
  <c r="E34" i="3" s="1"/>
  <c r="AC28" i="3"/>
  <c r="AC31" i="3" s="1"/>
  <c r="AC33" i="3" s="1"/>
  <c r="AB28" i="3"/>
  <c r="AB31" i="3" s="1"/>
  <c r="AB33" i="3" s="1"/>
  <c r="AB35" i="3" s="1"/>
  <c r="AA28" i="3"/>
  <c r="AA31" i="3" s="1"/>
  <c r="AA33" i="3" s="1"/>
  <c r="AA35" i="3" s="1"/>
  <c r="Z28" i="3"/>
  <c r="Z31" i="3" s="1"/>
  <c r="Z33" i="3" s="1"/>
  <c r="Z35" i="3" s="1"/>
  <c r="Y28" i="3"/>
  <c r="Y31" i="3" s="1"/>
  <c r="Y33" i="3" s="1"/>
  <c r="X28" i="3"/>
  <c r="X31" i="3" s="1"/>
  <c r="X33" i="3" s="1"/>
  <c r="X35" i="3" s="1"/>
  <c r="W28" i="3"/>
  <c r="W31" i="3" s="1"/>
  <c r="W33" i="3" s="1"/>
  <c r="V28" i="3"/>
  <c r="V31" i="3" s="1"/>
  <c r="V33" i="3" s="1"/>
  <c r="V35" i="3" s="1"/>
  <c r="U28" i="3"/>
  <c r="U31" i="3" s="1"/>
  <c r="U33" i="3" s="1"/>
  <c r="T28" i="3"/>
  <c r="T31" i="3" s="1"/>
  <c r="T33" i="3" s="1"/>
  <c r="T35" i="3" s="1"/>
  <c r="S28" i="3"/>
  <c r="S31" i="3" s="1"/>
  <c r="S33" i="3" s="1"/>
  <c r="S35" i="3" s="1"/>
  <c r="R28" i="3"/>
  <c r="R31" i="3" s="1"/>
  <c r="R33" i="3" s="1"/>
  <c r="R35" i="3" s="1"/>
  <c r="Q28" i="3"/>
  <c r="Q31" i="3" s="1"/>
  <c r="Q33" i="3" s="1"/>
  <c r="P28" i="3"/>
  <c r="P31" i="3" s="1"/>
  <c r="P33" i="3" s="1"/>
  <c r="P35" i="3" s="1"/>
  <c r="O28" i="3"/>
  <c r="O31" i="3" s="1"/>
  <c r="O33" i="3" s="1"/>
  <c r="O35" i="3" s="1"/>
  <c r="N28" i="3"/>
  <c r="N31" i="3" s="1"/>
  <c r="N33" i="3" s="1"/>
  <c r="N35" i="3" s="1"/>
  <c r="M28" i="3"/>
  <c r="M31" i="3" s="1"/>
  <c r="M33" i="3" s="1"/>
  <c r="L28" i="3"/>
  <c r="L31" i="3" s="1"/>
  <c r="L33" i="3" s="1"/>
  <c r="L35" i="3" s="1"/>
  <c r="K28" i="3"/>
  <c r="K31" i="3" s="1"/>
  <c r="K33" i="3" s="1"/>
  <c r="J28" i="3"/>
  <c r="J31" i="3" s="1"/>
  <c r="J33" i="3" s="1"/>
  <c r="J35" i="3" s="1"/>
  <c r="I28" i="3"/>
  <c r="I31" i="3" s="1"/>
  <c r="I33" i="3" s="1"/>
  <c r="H28" i="3"/>
  <c r="H31" i="3" s="1"/>
  <c r="H33" i="3" s="1"/>
  <c r="H35" i="3" s="1"/>
  <c r="G28" i="3"/>
  <c r="G31" i="3" s="1"/>
  <c r="G33" i="3" s="1"/>
  <c r="G35" i="3" s="1"/>
  <c r="F28" i="3"/>
  <c r="F31" i="3" s="1"/>
  <c r="F33" i="3" s="1"/>
  <c r="F35" i="3" s="1"/>
  <c r="E28" i="3"/>
  <c r="E31" i="3" s="1"/>
  <c r="E33" i="3" s="1"/>
  <c r="AC29" i="2"/>
  <c r="AC31" i="2" s="1"/>
  <c r="AC33" i="2" s="1"/>
  <c r="AB29" i="2"/>
  <c r="AB31" i="2" s="1"/>
  <c r="AB33" i="2" s="1"/>
  <c r="AA29" i="2"/>
  <c r="AA31" i="2" s="1"/>
  <c r="AA33" i="2" s="1"/>
  <c r="Z29" i="2"/>
  <c r="Z31" i="2" s="1"/>
  <c r="Z33" i="2" s="1"/>
  <c r="Y29" i="2"/>
  <c r="Y31" i="2" s="1"/>
  <c r="Y33" i="2" s="1"/>
  <c r="X29" i="2"/>
  <c r="X31" i="2" s="1"/>
  <c r="X33" i="2" s="1"/>
  <c r="W29" i="2"/>
  <c r="W31" i="2" s="1"/>
  <c r="W33" i="2" s="1"/>
  <c r="V29" i="2"/>
  <c r="V31" i="2" s="1"/>
  <c r="V33" i="2" s="1"/>
  <c r="U29" i="2"/>
  <c r="U31" i="2" s="1"/>
  <c r="U33" i="2" s="1"/>
  <c r="T29" i="2"/>
  <c r="T31" i="2" s="1"/>
  <c r="T33" i="2" s="1"/>
  <c r="S29" i="2"/>
  <c r="S31" i="2" s="1"/>
  <c r="S33" i="2" s="1"/>
  <c r="R29" i="2"/>
  <c r="R31" i="2" s="1"/>
  <c r="R33" i="2" s="1"/>
  <c r="Q29" i="2"/>
  <c r="Q31" i="2" s="1"/>
  <c r="Q33" i="2" s="1"/>
  <c r="P29" i="2"/>
  <c r="P31" i="2" s="1"/>
  <c r="P33" i="2" s="1"/>
  <c r="O29" i="2"/>
  <c r="O31" i="2" s="1"/>
  <c r="O33" i="2" s="1"/>
  <c r="N29" i="2"/>
  <c r="N31" i="2" s="1"/>
  <c r="N33" i="2" s="1"/>
  <c r="M29" i="2"/>
  <c r="M31" i="2" s="1"/>
  <c r="M33" i="2" s="1"/>
  <c r="L29" i="2"/>
  <c r="L31" i="2" s="1"/>
  <c r="L33" i="2" s="1"/>
  <c r="K29" i="2"/>
  <c r="K31" i="2" s="1"/>
  <c r="K33" i="2" s="1"/>
  <c r="J29" i="2"/>
  <c r="J31" i="2" s="1"/>
  <c r="J33" i="2" s="1"/>
  <c r="I29" i="2"/>
  <c r="I31" i="2" s="1"/>
  <c r="I33" i="2" s="1"/>
  <c r="H29" i="2"/>
  <c r="H31" i="2" s="1"/>
  <c r="H33" i="2" s="1"/>
  <c r="G29" i="2"/>
  <c r="G31" i="2" s="1"/>
  <c r="G33" i="2" s="1"/>
  <c r="F29" i="2"/>
  <c r="F31" i="2" s="1"/>
  <c r="F33" i="2" s="1"/>
  <c r="E29" i="2"/>
  <c r="E31" i="2" s="1"/>
  <c r="E33" i="2" s="1"/>
  <c r="F27" i="1"/>
  <c r="F32" i="1" s="1"/>
  <c r="G27" i="1"/>
  <c r="G32" i="1" s="1"/>
  <c r="H27" i="1"/>
  <c r="H32" i="1" s="1"/>
  <c r="I27" i="1"/>
  <c r="I32" i="1" s="1"/>
  <c r="J27" i="1"/>
  <c r="J32" i="1" s="1"/>
  <c r="K27" i="1"/>
  <c r="K32" i="1" s="1"/>
  <c r="L27" i="1"/>
  <c r="L32" i="1" s="1"/>
  <c r="M27" i="1"/>
  <c r="M32" i="1" s="1"/>
  <c r="N27" i="1"/>
  <c r="N32" i="1" s="1"/>
  <c r="O27" i="1"/>
  <c r="O32" i="1" s="1"/>
  <c r="P27" i="1"/>
  <c r="P32" i="1" s="1"/>
  <c r="Q27" i="1"/>
  <c r="Q32" i="1" s="1"/>
  <c r="R27" i="1"/>
  <c r="R32" i="1" s="1"/>
  <c r="S27" i="1"/>
  <c r="S32" i="1" s="1"/>
  <c r="T27" i="1"/>
  <c r="T32" i="1" s="1"/>
  <c r="U27" i="1"/>
  <c r="U32" i="1" s="1"/>
  <c r="V27" i="1"/>
  <c r="V32" i="1" s="1"/>
  <c r="W27" i="1"/>
  <c r="W32" i="1" s="1"/>
  <c r="X27" i="1"/>
  <c r="X32" i="1" s="1"/>
  <c r="Y27" i="1"/>
  <c r="Y32" i="1" s="1"/>
  <c r="Z27" i="1"/>
  <c r="Z32" i="1" s="1"/>
  <c r="AA27" i="1"/>
  <c r="AA32" i="1" s="1"/>
  <c r="AB27" i="1"/>
  <c r="AB32" i="1" s="1"/>
  <c r="AC27" i="1"/>
  <c r="AC32" i="1" s="1"/>
  <c r="E27" i="1"/>
  <c r="E32" i="1" s="1"/>
  <c r="F26" i="1"/>
  <c r="F29" i="1" s="1"/>
  <c r="F31" i="1" s="1"/>
  <c r="F33" i="1" s="1"/>
  <c r="G26" i="1"/>
  <c r="G29" i="1" s="1"/>
  <c r="G31" i="1" s="1"/>
  <c r="H26" i="1"/>
  <c r="H29" i="1" s="1"/>
  <c r="I26" i="1"/>
  <c r="I29" i="1" s="1"/>
  <c r="I31" i="1" s="1"/>
  <c r="J26" i="1"/>
  <c r="J29" i="1" s="1"/>
  <c r="J31" i="1" s="1"/>
  <c r="J33" i="1" s="1"/>
  <c r="K26" i="1"/>
  <c r="K29" i="1" s="1"/>
  <c r="K31" i="1" s="1"/>
  <c r="L26" i="1"/>
  <c r="L29" i="1" s="1"/>
  <c r="L31" i="1" s="1"/>
  <c r="L33" i="1" s="1"/>
  <c r="M26" i="1"/>
  <c r="M29" i="1" s="1"/>
  <c r="M31" i="1" s="1"/>
  <c r="M33" i="1" s="1"/>
  <c r="N26" i="1"/>
  <c r="N29" i="1" s="1"/>
  <c r="N31" i="1" s="1"/>
  <c r="O26" i="1"/>
  <c r="O29" i="1" s="1"/>
  <c r="O31" i="1" s="1"/>
  <c r="P26" i="1"/>
  <c r="P29" i="1" s="1"/>
  <c r="P31" i="1" s="1"/>
  <c r="P33" i="1" s="1"/>
  <c r="Q26" i="1"/>
  <c r="Q29" i="1" s="1"/>
  <c r="Q31" i="1" s="1"/>
  <c r="Q33" i="1" s="1"/>
  <c r="R26" i="1"/>
  <c r="R29" i="1" s="1"/>
  <c r="R31" i="1" s="1"/>
  <c r="R33" i="1" s="1"/>
  <c r="S26" i="1"/>
  <c r="S29" i="1" s="1"/>
  <c r="S31" i="1" s="1"/>
  <c r="T26" i="1"/>
  <c r="T29" i="1" s="1"/>
  <c r="U26" i="1"/>
  <c r="U29" i="1" s="1"/>
  <c r="U31" i="1" s="1"/>
  <c r="V26" i="1"/>
  <c r="V29" i="1" s="1"/>
  <c r="V31" i="1" s="1"/>
  <c r="V33" i="1" s="1"/>
  <c r="W26" i="1"/>
  <c r="W29" i="1" s="1"/>
  <c r="W31" i="1" s="1"/>
  <c r="X26" i="1"/>
  <c r="X29" i="1" s="1"/>
  <c r="X31" i="1" s="1"/>
  <c r="X33" i="1" s="1"/>
  <c r="Y26" i="1"/>
  <c r="Y29" i="1" s="1"/>
  <c r="Y31" i="1" s="1"/>
  <c r="Y33" i="1" s="1"/>
  <c r="Z26" i="1"/>
  <c r="Z29" i="1" s="1"/>
  <c r="Z31" i="1" s="1"/>
  <c r="AA26" i="1"/>
  <c r="AA29" i="1" s="1"/>
  <c r="AA31" i="1" s="1"/>
  <c r="AB26" i="1"/>
  <c r="AB29" i="1" s="1"/>
  <c r="AB31" i="1" s="1"/>
  <c r="AB33" i="1" s="1"/>
  <c r="AC26" i="1"/>
  <c r="AC29" i="1" s="1"/>
  <c r="AC31" i="1" s="1"/>
  <c r="AC33" i="1" s="1"/>
  <c r="E26" i="1"/>
  <c r="E29" i="1" s="1"/>
  <c r="E31" i="1" s="1"/>
  <c r="E33" i="1" s="1"/>
  <c r="D49" i="9" l="1"/>
  <c r="E46" i="9" s="1"/>
  <c r="M45" i="7"/>
  <c r="M46" i="7" s="1"/>
  <c r="M47" i="7" s="1"/>
  <c r="N44" i="7" s="1"/>
  <c r="N43" i="3"/>
  <c r="N44" i="3" s="1"/>
  <c r="N45" i="3" s="1"/>
  <c r="O42" i="3" s="1"/>
  <c r="E35" i="3"/>
  <c r="I35" i="3"/>
  <c r="M35" i="3"/>
  <c r="Q35" i="3"/>
  <c r="Q37" i="3" s="1"/>
  <c r="U35" i="3"/>
  <c r="Y35" i="3"/>
  <c r="AC35" i="3"/>
  <c r="K35" i="3"/>
  <c r="W35" i="3"/>
  <c r="U33" i="1"/>
  <c r="I33" i="1"/>
  <c r="I37" i="3"/>
  <c r="W35" i="2"/>
  <c r="W37" i="2" s="1"/>
  <c r="S33" i="1"/>
  <c r="G33" i="1"/>
  <c r="G35" i="1" s="1"/>
  <c r="G37" i="1" s="1"/>
  <c r="AA33" i="1"/>
  <c r="AA35" i="1" s="1"/>
  <c r="AA37" i="1" s="1"/>
  <c r="O33" i="1"/>
  <c r="O35" i="1" s="1"/>
  <c r="O37" i="1" s="1"/>
  <c r="K35" i="2"/>
  <c r="K37" i="2" s="1"/>
  <c r="N35" i="2"/>
  <c r="N37" i="2" s="1"/>
  <c r="Z35" i="2"/>
  <c r="Z37" i="2" s="1"/>
  <c r="O35" i="2"/>
  <c r="O37" i="2" s="1"/>
  <c r="AA35" i="2"/>
  <c r="AA37" i="2" s="1"/>
  <c r="R35" i="2"/>
  <c r="R37" i="2" s="1"/>
  <c r="W33" i="1"/>
  <c r="W35" i="1" s="1"/>
  <c r="W37" i="1" s="1"/>
  <c r="K33" i="1"/>
  <c r="K35" i="1" s="1"/>
  <c r="K37" i="1" s="1"/>
  <c r="Z33" i="1"/>
  <c r="Z35" i="1" s="1"/>
  <c r="Z37" i="1" s="1"/>
  <c r="N33" i="1"/>
  <c r="N35" i="1" s="1"/>
  <c r="N37" i="1" s="1"/>
  <c r="T31" i="1"/>
  <c r="T33" i="1" s="1"/>
  <c r="T35" i="1" s="1"/>
  <c r="T37" i="1" s="1"/>
  <c r="H31" i="1"/>
  <c r="H33" i="1" s="1"/>
  <c r="H35" i="1" s="1"/>
  <c r="H37" i="1" s="1"/>
  <c r="U35" i="1"/>
  <c r="U37" i="1" s="1"/>
  <c r="AB35" i="1"/>
  <c r="AB37" i="1" s="1"/>
  <c r="P35" i="1"/>
  <c r="P37" i="1" s="1"/>
  <c r="J35" i="1"/>
  <c r="J37" i="1" s="1"/>
  <c r="L35" i="1"/>
  <c r="L37" i="1" s="1"/>
  <c r="S35" i="1"/>
  <c r="S37" i="1" s="1"/>
  <c r="X35" i="1"/>
  <c r="X37" i="1" s="1"/>
  <c r="Y35" i="1"/>
  <c r="Y37" i="1" s="1"/>
  <c r="G35" i="2"/>
  <c r="G37" i="2" s="1"/>
  <c r="S35" i="2"/>
  <c r="S37" i="2" s="1"/>
  <c r="F35" i="2"/>
  <c r="F37" i="2" s="1"/>
  <c r="J35" i="2"/>
  <c r="J37" i="2" s="1"/>
  <c r="V35" i="2"/>
  <c r="V37" i="2" s="1"/>
  <c r="AC35" i="1"/>
  <c r="AC37" i="1" s="1"/>
  <c r="M35" i="1"/>
  <c r="M37" i="1" s="1"/>
  <c r="H37" i="3"/>
  <c r="L37" i="3"/>
  <c r="T37" i="3"/>
  <c r="X37" i="3"/>
  <c r="AB37" i="3"/>
  <c r="G37" i="3"/>
  <c r="W37" i="3"/>
  <c r="AC37" i="3"/>
  <c r="F37" i="3"/>
  <c r="R37" i="3"/>
  <c r="V37" i="3"/>
  <c r="M37" i="3"/>
  <c r="K37" i="3"/>
  <c r="O37" i="3"/>
  <c r="S37" i="3"/>
  <c r="AA37" i="3"/>
  <c r="P37" i="3"/>
  <c r="Y37" i="3"/>
  <c r="E37" i="3"/>
  <c r="U37" i="3"/>
  <c r="J37" i="3"/>
  <c r="Z37" i="3"/>
  <c r="N37" i="3"/>
  <c r="H35" i="2"/>
  <c r="H37" i="2" s="1"/>
  <c r="X35" i="2"/>
  <c r="X37" i="2" s="1"/>
  <c r="L35" i="2"/>
  <c r="L37" i="2" s="1"/>
  <c r="AB35" i="2"/>
  <c r="AB37" i="2" s="1"/>
  <c r="E35" i="2"/>
  <c r="E37" i="2" s="1"/>
  <c r="I35" i="2"/>
  <c r="I37" i="2" s="1"/>
  <c r="M35" i="2"/>
  <c r="M37" i="2" s="1"/>
  <c r="Q35" i="2"/>
  <c r="Q37" i="2" s="1"/>
  <c r="U35" i="2"/>
  <c r="U37" i="2" s="1"/>
  <c r="Y35" i="2"/>
  <c r="Y37" i="2" s="1"/>
  <c r="AC35" i="2"/>
  <c r="AC37" i="2" s="1"/>
  <c r="P35" i="2"/>
  <c r="P37" i="2" s="1"/>
  <c r="T35" i="2"/>
  <c r="T37" i="2" s="1"/>
  <c r="Q35" i="1"/>
  <c r="Q37" i="1" s="1"/>
  <c r="V35" i="1"/>
  <c r="V37" i="1" s="1"/>
  <c r="R35" i="1"/>
  <c r="R37" i="1" s="1"/>
  <c r="F35" i="1"/>
  <c r="F37" i="1" s="1"/>
  <c r="I35" i="1"/>
  <c r="I37" i="1" s="1"/>
  <c r="E35" i="1"/>
  <c r="E37" i="1" s="1"/>
  <c r="N45" i="7" l="1"/>
  <c r="N46" i="7" s="1"/>
  <c r="N47" i="7" s="1"/>
  <c r="O44" i="7" s="1"/>
  <c r="O43" i="3"/>
  <c r="O44" i="3" s="1"/>
  <c r="O45" i="3" s="1"/>
  <c r="P42" i="3" s="1"/>
  <c r="E47" i="9"/>
  <c r="E49" i="8"/>
  <c r="E51" i="8"/>
  <c r="F42" i="8"/>
  <c r="F44" i="8" s="1"/>
  <c r="D44" i="1"/>
  <c r="E42" i="1" s="1"/>
  <c r="E43" i="1" s="1"/>
  <c r="D44" i="2"/>
  <c r="O45" i="7" l="1"/>
  <c r="O46" i="7" s="1"/>
  <c r="O47" i="7" s="1"/>
  <c r="P44" i="7" s="1"/>
  <c r="P43" i="3"/>
  <c r="P44" i="3" s="1"/>
  <c r="P45" i="3" s="1"/>
  <c r="Q42" i="3" s="1"/>
  <c r="E48" i="9"/>
  <c r="F49" i="8"/>
  <c r="E42" i="2"/>
  <c r="D50" i="3"/>
  <c r="C13" i="3"/>
  <c r="E41" i="1"/>
  <c r="E44" i="1" s="1"/>
  <c r="E41" i="2"/>
  <c r="P45" i="7" l="1"/>
  <c r="P46" i="7" s="1"/>
  <c r="P47" i="7" s="1"/>
  <c r="Q44" i="7" s="1"/>
  <c r="Q43" i="3"/>
  <c r="Q44" i="3" s="1"/>
  <c r="Q45" i="3" s="1"/>
  <c r="R42" i="3" s="1"/>
  <c r="D51" i="3"/>
  <c r="E49" i="9"/>
  <c r="F46" i="9" s="1"/>
  <c r="F51" i="8"/>
  <c r="E43" i="2"/>
  <c r="E63" i="3"/>
  <c r="E51" i="9"/>
  <c r="E44" i="2"/>
  <c r="F42" i="1"/>
  <c r="F43" i="1" s="1"/>
  <c r="F41" i="8"/>
  <c r="F45" i="8" s="1"/>
  <c r="E62" i="9" l="1"/>
  <c r="E64" i="9"/>
  <c r="Q45" i="7"/>
  <c r="Q46" i="7" s="1"/>
  <c r="Q47" i="7" s="1"/>
  <c r="R44" i="7" s="1"/>
  <c r="R43" i="3"/>
  <c r="R44" i="3" s="1"/>
  <c r="R45" i="3" s="1"/>
  <c r="S42" i="3" s="1"/>
  <c r="E64" i="3"/>
  <c r="F47" i="9"/>
  <c r="F41" i="1"/>
  <c r="F44" i="1" s="1"/>
  <c r="E54" i="9"/>
  <c r="E52" i="9"/>
  <c r="F42" i="2"/>
  <c r="R45" i="7" l="1"/>
  <c r="R46" i="7" s="1"/>
  <c r="R47" i="7" s="1"/>
  <c r="S44" i="7" s="1"/>
  <c r="S43" i="3"/>
  <c r="S44" i="3" s="1"/>
  <c r="S45" i="3" s="1"/>
  <c r="T42" i="3" s="1"/>
  <c r="F43" i="2"/>
  <c r="F63" i="3"/>
  <c r="E49" i="7"/>
  <c r="E47" i="3"/>
  <c r="E48" i="3" s="1"/>
  <c r="F48" i="9"/>
  <c r="G42" i="8"/>
  <c r="G41" i="8"/>
  <c r="F41" i="2"/>
  <c r="E52" i="7" l="1"/>
  <c r="E54" i="7"/>
  <c r="G44" i="8"/>
  <c r="G49" i="8" s="1"/>
  <c r="S45" i="7"/>
  <c r="S46" i="7" s="1"/>
  <c r="S47" i="7" s="1"/>
  <c r="T44" i="7" s="1"/>
  <c r="T43" i="3"/>
  <c r="T44" i="3" s="1"/>
  <c r="T45" i="3" s="1"/>
  <c r="U42" i="3" s="1"/>
  <c r="F49" i="9"/>
  <c r="G46" i="9" s="1"/>
  <c r="E50" i="3"/>
  <c r="E50" i="7"/>
  <c r="F64" i="3"/>
  <c r="F51" i="9"/>
  <c r="F44" i="2"/>
  <c r="G41" i="1"/>
  <c r="G42" i="1"/>
  <c r="G43" i="1" s="1"/>
  <c r="G45" i="8" l="1"/>
  <c r="H41" i="8" s="1"/>
  <c r="T45" i="7"/>
  <c r="T46" i="7" s="1"/>
  <c r="T47" i="7" s="1"/>
  <c r="U44" i="7" s="1"/>
  <c r="U43" i="3"/>
  <c r="U44" i="3" s="1"/>
  <c r="U45" i="3" s="1"/>
  <c r="V42" i="3" s="1"/>
  <c r="E53" i="3"/>
  <c r="E51" i="3"/>
  <c r="E52" i="3" s="1"/>
  <c r="G51" i="8"/>
  <c r="G42" i="2"/>
  <c r="F47" i="3"/>
  <c r="F49" i="7"/>
  <c r="F54" i="7" s="1"/>
  <c r="G47" i="9"/>
  <c r="G44" i="1"/>
  <c r="H42" i="1" s="1"/>
  <c r="H43" i="1" s="1"/>
  <c r="F52" i="9"/>
  <c r="F54" i="9"/>
  <c r="G41" i="2"/>
  <c r="U45" i="7" l="1"/>
  <c r="U46" i="7" s="1"/>
  <c r="U47" i="7" s="1"/>
  <c r="V44" i="7" s="1"/>
  <c r="V43" i="3"/>
  <c r="V44" i="3" s="1"/>
  <c r="V45" i="3" s="1"/>
  <c r="W42" i="3" s="1"/>
  <c r="H42" i="8"/>
  <c r="H44" i="8" s="1"/>
  <c r="H45" i="8" s="1"/>
  <c r="G43" i="2"/>
  <c r="G63" i="3"/>
  <c r="G48" i="9"/>
  <c r="G44" i="2"/>
  <c r="H41" i="1"/>
  <c r="H44" i="1" s="1"/>
  <c r="F52" i="7"/>
  <c r="F50" i="7"/>
  <c r="F50" i="3"/>
  <c r="F48" i="3"/>
  <c r="V45" i="7" l="1"/>
  <c r="V46" i="7" s="1"/>
  <c r="V47" i="7" s="1"/>
  <c r="W44" i="7" s="1"/>
  <c r="W43" i="3"/>
  <c r="W44" i="3" s="1"/>
  <c r="W45" i="3" s="1"/>
  <c r="X42" i="3" s="1"/>
  <c r="F53" i="3"/>
  <c r="F51" i="3"/>
  <c r="F52" i="3" s="1"/>
  <c r="G51" i="9"/>
  <c r="H42" i="2"/>
  <c r="H43" i="2" s="1"/>
  <c r="H63" i="3"/>
  <c r="G64" i="3"/>
  <c r="G49" i="7"/>
  <c r="G54" i="7" s="1"/>
  <c r="G49" i="9"/>
  <c r="H46" i="9" s="1"/>
  <c r="H47" i="9" s="1"/>
  <c r="H51" i="8"/>
  <c r="H49" i="8"/>
  <c r="I42" i="8"/>
  <c r="I44" i="8" s="1"/>
  <c r="I42" i="1"/>
  <c r="I43" i="1" s="1"/>
  <c r="I41" i="8"/>
  <c r="H41" i="2"/>
  <c r="I45" i="8" l="1"/>
  <c r="G54" i="9"/>
  <c r="G52" i="9"/>
  <c r="W45" i="7"/>
  <c r="W46" i="7" s="1"/>
  <c r="W47" i="7" s="1"/>
  <c r="X44" i="7" s="1"/>
  <c r="X43" i="3"/>
  <c r="X44" i="3" s="1"/>
  <c r="X45" i="3" s="1"/>
  <c r="Y42" i="3" s="1"/>
  <c r="G47" i="3"/>
  <c r="G50" i="3" s="1"/>
  <c r="G51" i="3" s="1"/>
  <c r="H49" i="7"/>
  <c r="H54" i="7" s="1"/>
  <c r="H48" i="9"/>
  <c r="H44" i="2"/>
  <c r="I41" i="1"/>
  <c r="I44" i="1" s="1"/>
  <c r="G52" i="7"/>
  <c r="G50" i="7"/>
  <c r="X45" i="7" l="1"/>
  <c r="X46" i="7" s="1"/>
  <c r="X47" i="7" s="1"/>
  <c r="Y44" i="7" s="1"/>
  <c r="Y43" i="3"/>
  <c r="Y44" i="3" s="1"/>
  <c r="Y45" i="3"/>
  <c r="Z42" i="3" s="1"/>
  <c r="G48" i="3"/>
  <c r="G53" i="3"/>
  <c r="H47" i="3"/>
  <c r="H64" i="3"/>
  <c r="H49" i="9"/>
  <c r="I46" i="9" s="1"/>
  <c r="I42" i="2"/>
  <c r="H51" i="9"/>
  <c r="I51" i="8"/>
  <c r="I49" i="8"/>
  <c r="J42" i="8"/>
  <c r="J42" i="1"/>
  <c r="J43" i="1" s="1"/>
  <c r="J41" i="8"/>
  <c r="I41" i="2"/>
  <c r="G52" i="3"/>
  <c r="Y45" i="7" l="1"/>
  <c r="Y46" i="7" s="1"/>
  <c r="Y47" i="7" s="1"/>
  <c r="Z44" i="7" s="1"/>
  <c r="Z43" i="3"/>
  <c r="Z44" i="3" s="1"/>
  <c r="Z45" i="3" s="1"/>
  <c r="AA42" i="3" s="1"/>
  <c r="J44" i="8"/>
  <c r="J45" i="8" s="1"/>
  <c r="H52" i="9"/>
  <c r="I43" i="2"/>
  <c r="I63" i="3"/>
  <c r="H54" i="9"/>
  <c r="I47" i="9"/>
  <c r="I44" i="2"/>
  <c r="J41" i="1"/>
  <c r="J44" i="1" s="1"/>
  <c r="H52" i="7"/>
  <c r="H50" i="7"/>
  <c r="H50" i="3"/>
  <c r="H48" i="3"/>
  <c r="Z45" i="7" l="1"/>
  <c r="Z46" i="7" s="1"/>
  <c r="Z47" i="7" s="1"/>
  <c r="AA44" i="7" s="1"/>
  <c r="AA43" i="3"/>
  <c r="AA44" i="3" s="1"/>
  <c r="AA45" i="3" s="1"/>
  <c r="AB42" i="3" s="1"/>
  <c r="H53" i="3"/>
  <c r="H51" i="3"/>
  <c r="H52" i="3" s="1"/>
  <c r="I49" i="7"/>
  <c r="I54" i="7" s="1"/>
  <c r="I48" i="9"/>
  <c r="J49" i="8"/>
  <c r="J51" i="8"/>
  <c r="K42" i="8"/>
  <c r="K44" i="8" s="1"/>
  <c r="K42" i="1"/>
  <c r="K43" i="1" s="1"/>
  <c r="K41" i="8"/>
  <c r="J42" i="2"/>
  <c r="K41" i="1"/>
  <c r="K45" i="8" l="1"/>
  <c r="AA45" i="7"/>
  <c r="AA46" i="7" s="1"/>
  <c r="AA47" i="7" s="1"/>
  <c r="AB44" i="7" s="1"/>
  <c r="AB43" i="3"/>
  <c r="AB44" i="3" s="1"/>
  <c r="AB45" i="3"/>
  <c r="AC42" i="3" s="1"/>
  <c r="K44" i="1"/>
  <c r="I47" i="3"/>
  <c r="I50" i="3" s="1"/>
  <c r="I53" i="3" s="1"/>
  <c r="I64" i="3"/>
  <c r="I49" i="9"/>
  <c r="J46" i="9" s="1"/>
  <c r="J47" i="9" s="1"/>
  <c r="J43" i="2"/>
  <c r="J63" i="3"/>
  <c r="I51" i="9"/>
  <c r="K51" i="8"/>
  <c r="I52" i="7"/>
  <c r="I50" i="7"/>
  <c r="J41" i="2"/>
  <c r="L42" i="1"/>
  <c r="L43" i="1" s="1"/>
  <c r="AB45" i="7" l="1"/>
  <c r="AB46" i="7" s="1"/>
  <c r="AB47" i="7" s="1"/>
  <c r="AC44" i="7" s="1"/>
  <c r="AC43" i="3"/>
  <c r="AC44" i="3" s="1"/>
  <c r="AC45" i="3" s="1"/>
  <c r="I48" i="3"/>
  <c r="I51" i="3"/>
  <c r="I52" i="3" s="1"/>
  <c r="K49" i="8"/>
  <c r="J49" i="7"/>
  <c r="J54" i="7" s="1"/>
  <c r="J48" i="9"/>
  <c r="J49" i="9" s="1"/>
  <c r="K46" i="9" s="1"/>
  <c r="K47" i="9" s="1"/>
  <c r="I52" i="9"/>
  <c r="I54" i="9"/>
  <c r="L42" i="8"/>
  <c r="L44" i="8" s="1"/>
  <c r="J44" i="2"/>
  <c r="L41" i="8"/>
  <c r="L41" i="1"/>
  <c r="L44" i="1" s="1"/>
  <c r="L45" i="8" l="1"/>
  <c r="AC45" i="7"/>
  <c r="AC46" i="7" s="1"/>
  <c r="AC47" i="7" s="1"/>
  <c r="J47" i="3"/>
  <c r="J64" i="3"/>
  <c r="K42" i="2"/>
  <c r="J51" i="9"/>
  <c r="K48" i="9"/>
  <c r="K49" i="9" s="1"/>
  <c r="L46" i="9" s="1"/>
  <c r="L47" i="9" s="1"/>
  <c r="J52" i="9"/>
  <c r="K41" i="2"/>
  <c r="M42" i="1"/>
  <c r="M43" i="1" s="1"/>
  <c r="J54" i="9" l="1"/>
  <c r="K43" i="2"/>
  <c r="K63" i="3"/>
  <c r="K51" i="9"/>
  <c r="L48" i="9"/>
  <c r="L49" i="9" s="1"/>
  <c r="M46" i="9" s="1"/>
  <c r="M47" i="9" s="1"/>
  <c r="K54" i="9"/>
  <c r="L49" i="8"/>
  <c r="L51" i="8"/>
  <c r="M42" i="8"/>
  <c r="M44" i="8" s="1"/>
  <c r="K44" i="2"/>
  <c r="M41" i="8"/>
  <c r="J48" i="3"/>
  <c r="J50" i="3"/>
  <c r="J53" i="3" s="1"/>
  <c r="J50" i="7"/>
  <c r="J52" i="7"/>
  <c r="L42" i="2"/>
  <c r="M41" i="1"/>
  <c r="M44" i="1" s="1"/>
  <c r="M45" i="8" l="1"/>
  <c r="K52" i="9"/>
  <c r="J51" i="3"/>
  <c r="J52" i="3" s="1"/>
  <c r="L43" i="2"/>
  <c r="L63" i="3"/>
  <c r="K49" i="7"/>
  <c r="K54" i="7" s="1"/>
  <c r="L51" i="9"/>
  <c r="M48" i="9"/>
  <c r="M51" i="9" s="1"/>
  <c r="M51" i="8"/>
  <c r="D64" i="9"/>
  <c r="L41" i="2"/>
  <c r="N42" i="1"/>
  <c r="N43" i="1" s="1"/>
  <c r="L54" i="9" l="1"/>
  <c r="K47" i="3"/>
  <c r="K64" i="3"/>
  <c r="N41" i="8"/>
  <c r="M49" i="8"/>
  <c r="L49" i="7"/>
  <c r="L54" i="7" s="1"/>
  <c r="L64" i="3"/>
  <c r="M54" i="9"/>
  <c r="M49" i="9"/>
  <c r="N46" i="9" s="1"/>
  <c r="N47" i="9" s="1"/>
  <c r="N48" i="9" s="1"/>
  <c r="D71" i="9" s="1"/>
  <c r="L52" i="9"/>
  <c r="M52" i="9"/>
  <c r="N42" i="8"/>
  <c r="N44" i="8" s="1"/>
  <c r="L44" i="2"/>
  <c r="F56" i="9"/>
  <c r="F59" i="9" s="1"/>
  <c r="D65" i="9"/>
  <c r="K50" i="7"/>
  <c r="K52" i="7"/>
  <c r="K48" i="3"/>
  <c r="K50" i="3"/>
  <c r="K53" i="3" s="1"/>
  <c r="N41" i="1"/>
  <c r="N44" i="1" s="1"/>
  <c r="N45" i="8" l="1"/>
  <c r="F57" i="9"/>
  <c r="K51" i="3"/>
  <c r="K52" i="3" s="1"/>
  <c r="L47" i="3"/>
  <c r="M42" i="2"/>
  <c r="N49" i="9"/>
  <c r="N51" i="9"/>
  <c r="N49" i="8"/>
  <c r="G56" i="9"/>
  <c r="G59" i="9" s="1"/>
  <c r="M41" i="2"/>
  <c r="F61" i="9" l="1"/>
  <c r="P46" i="9"/>
  <c r="Q46" i="9" s="1"/>
  <c r="R46" i="9" s="1"/>
  <c r="S46" i="9" s="1"/>
  <c r="T46" i="9" s="1"/>
  <c r="U46" i="9" s="1"/>
  <c r="V46" i="9" s="1"/>
  <c r="W46" i="9" s="1"/>
  <c r="X46" i="9" s="1"/>
  <c r="Y46" i="9" s="1"/>
  <c r="Z46" i="9" s="1"/>
  <c r="AA46" i="9" s="1"/>
  <c r="AB46" i="9" s="1"/>
  <c r="AC46" i="9" s="1"/>
  <c r="O46" i="9"/>
  <c r="G57" i="9"/>
  <c r="M43" i="2"/>
  <c r="M44" i="2" s="1"/>
  <c r="M63" i="3"/>
  <c r="N52" i="9"/>
  <c r="N54" i="9"/>
  <c r="D47" i="8"/>
  <c r="N51" i="8"/>
  <c r="C53" i="8" s="1"/>
  <c r="L52" i="7"/>
  <c r="L50" i="7"/>
  <c r="L50" i="3"/>
  <c r="L53" i="3" s="1"/>
  <c r="L48" i="3"/>
  <c r="O42" i="1"/>
  <c r="O43" i="1" s="1"/>
  <c r="G61" i="9" l="1"/>
  <c r="G62" i="9" s="1"/>
  <c r="H56" i="9"/>
  <c r="F62" i="9"/>
  <c r="F64" i="9"/>
  <c r="F65" i="9" s="1"/>
  <c r="L51" i="3"/>
  <c r="L52" i="3" s="1"/>
  <c r="N42" i="2"/>
  <c r="M49" i="7"/>
  <c r="M54" i="7" s="1"/>
  <c r="E65" i="9"/>
  <c r="N41" i="2"/>
  <c r="O41" i="1"/>
  <c r="O44" i="1" s="1"/>
  <c r="G64" i="9" l="1"/>
  <c r="G65" i="9" s="1"/>
  <c r="G66" i="9" s="1"/>
  <c r="H57" i="9"/>
  <c r="H59" i="9"/>
  <c r="H61" i="9"/>
  <c r="H64" i="9" s="1"/>
  <c r="I56" i="9"/>
  <c r="I59" i="9" s="1"/>
  <c r="H62" i="9"/>
  <c r="M47" i="3"/>
  <c r="M50" i="3" s="1"/>
  <c r="M53" i="3" s="1"/>
  <c r="M64" i="3"/>
  <c r="N43" i="2"/>
  <c r="N63" i="3"/>
  <c r="F66" i="9"/>
  <c r="E66" i="9"/>
  <c r="N44" i="2"/>
  <c r="O42" i="2"/>
  <c r="M52" i="7"/>
  <c r="M50" i="7"/>
  <c r="P42" i="1"/>
  <c r="P43" i="1" s="1"/>
  <c r="I57" i="9" l="1"/>
  <c r="I61" i="9" s="1"/>
  <c r="J56" i="9"/>
  <c r="J59" i="9" s="1"/>
  <c r="M48" i="3"/>
  <c r="M51" i="3"/>
  <c r="M52" i="3" s="1"/>
  <c r="O43" i="2"/>
  <c r="O63" i="3"/>
  <c r="N49" i="7"/>
  <c r="N54" i="7" s="1"/>
  <c r="O41" i="2"/>
  <c r="P41" i="1"/>
  <c r="P44" i="1" s="1"/>
  <c r="J57" i="9" l="1"/>
  <c r="J61" i="9" s="1"/>
  <c r="I62" i="9"/>
  <c r="I64" i="9"/>
  <c r="I65" i="9" s="1"/>
  <c r="K56" i="9"/>
  <c r="K59" i="9" s="1"/>
  <c r="N47" i="3"/>
  <c r="N50" i="3" s="1"/>
  <c r="N53" i="3" s="1"/>
  <c r="N64" i="3"/>
  <c r="O49" i="7"/>
  <c r="O54" i="7" s="1"/>
  <c r="O44" i="2"/>
  <c r="H65" i="9"/>
  <c r="N52" i="7"/>
  <c r="N50" i="7"/>
  <c r="Q42" i="1"/>
  <c r="Q43" i="1" s="1"/>
  <c r="J64" i="9" l="1"/>
  <c r="J65" i="9" s="1"/>
  <c r="J62" i="9"/>
  <c r="K57" i="9"/>
  <c r="K61" i="9" s="1"/>
  <c r="L56" i="9"/>
  <c r="L59" i="9" s="1"/>
  <c r="N48" i="3"/>
  <c r="N51" i="3"/>
  <c r="N52" i="3" s="1"/>
  <c r="O47" i="3"/>
  <c r="O64" i="3"/>
  <c r="I66" i="9"/>
  <c r="H66" i="9"/>
  <c r="P42" i="2"/>
  <c r="Q41" i="1"/>
  <c r="Q44" i="1" s="1"/>
  <c r="L57" i="9" l="1"/>
  <c r="L61" i="9" s="1"/>
  <c r="K64" i="9"/>
  <c r="K62" i="9"/>
  <c r="M56" i="9"/>
  <c r="M59" i="9" s="1"/>
  <c r="P43" i="2"/>
  <c r="P63" i="3"/>
  <c r="J66" i="9"/>
  <c r="O50" i="3"/>
  <c r="O53" i="3" s="1"/>
  <c r="O48" i="3"/>
  <c r="O50" i="7"/>
  <c r="O52" i="7"/>
  <c r="P41" i="2"/>
  <c r="R42" i="1"/>
  <c r="R43" i="1" s="1"/>
  <c r="L64" i="9" l="1"/>
  <c r="L65" i="9" s="1"/>
  <c r="L62" i="9"/>
  <c r="M57" i="9"/>
  <c r="M61" i="9"/>
  <c r="N56" i="9"/>
  <c r="N58" i="9" s="1"/>
  <c r="M64" i="9"/>
  <c r="M62" i="9"/>
  <c r="O51" i="3"/>
  <c r="O52" i="3" s="1"/>
  <c r="P49" i="7"/>
  <c r="P54" i="7" s="1"/>
  <c r="P44" i="2"/>
  <c r="K65" i="9"/>
  <c r="Q42" i="2"/>
  <c r="R41" i="1"/>
  <c r="R44" i="1" s="1"/>
  <c r="N59" i="9" l="1"/>
  <c r="N57" i="9"/>
  <c r="N61" i="9" s="1"/>
  <c r="P47" i="3"/>
  <c r="P64" i="3"/>
  <c r="M65" i="9"/>
  <c r="Q43" i="2"/>
  <c r="Q63" i="3"/>
  <c r="L66" i="9"/>
  <c r="K66" i="9"/>
  <c r="Q41" i="2"/>
  <c r="N62" i="9" l="1"/>
  <c r="Q49" i="7"/>
  <c r="Q54" i="7" s="1"/>
  <c r="M66" i="9"/>
  <c r="Q44" i="2"/>
  <c r="P52" i="7"/>
  <c r="P50" i="7"/>
  <c r="P50" i="3"/>
  <c r="P53" i="3" s="1"/>
  <c r="P48" i="3"/>
  <c r="S42" i="1"/>
  <c r="S43" i="1" s="1"/>
  <c r="N64" i="9" l="1"/>
  <c r="P65" i="9" s="1"/>
  <c r="P51" i="3"/>
  <c r="P52" i="3" s="1"/>
  <c r="Q47" i="3"/>
  <c r="Q64" i="3"/>
  <c r="R42" i="2"/>
  <c r="S41" i="1"/>
  <c r="S44" i="1" s="1"/>
  <c r="R65" i="9" l="1"/>
  <c r="V65" i="9"/>
  <c r="AA65" i="9"/>
  <c r="N65" i="9"/>
  <c r="N66" i="9" s="1"/>
  <c r="T65" i="9"/>
  <c r="X65" i="9"/>
  <c r="Y66" i="9" s="1"/>
  <c r="Q65" i="9"/>
  <c r="Q66" i="9" s="1"/>
  <c r="U65" i="9"/>
  <c r="V66" i="9" s="1"/>
  <c r="Z65" i="9"/>
  <c r="Y65" i="9"/>
  <c r="Z66" i="9" s="1"/>
  <c r="S65" i="9"/>
  <c r="S66" i="9" s="1"/>
  <c r="O65" i="9"/>
  <c r="P66" i="9" s="1"/>
  <c r="W65" i="9"/>
  <c r="AB65" i="9"/>
  <c r="AC65" i="9"/>
  <c r="AA66" i="9"/>
  <c r="R43" i="2"/>
  <c r="R63" i="3"/>
  <c r="Q50" i="3"/>
  <c r="Q53" i="3" s="1"/>
  <c r="Q48" i="3"/>
  <c r="R41" i="2"/>
  <c r="Q52" i="7"/>
  <c r="Q50" i="7"/>
  <c r="R66" i="9" l="1"/>
  <c r="O66" i="9"/>
  <c r="T66" i="9"/>
  <c r="U66" i="9"/>
  <c r="X66" i="9"/>
  <c r="AC66" i="9"/>
  <c r="AB66" i="9"/>
  <c r="W66" i="9"/>
  <c r="Q51" i="3"/>
  <c r="Q52" i="3" s="1"/>
  <c r="R49" i="7"/>
  <c r="R54" i="7" s="1"/>
  <c r="R44" i="2"/>
  <c r="T42" i="1"/>
  <c r="T43" i="1" s="1"/>
  <c r="D69" i="9" l="1"/>
  <c r="R47" i="3"/>
  <c r="R64" i="3"/>
  <c r="S42" i="2"/>
  <c r="T41" i="1"/>
  <c r="T44" i="1" s="1"/>
  <c r="S43" i="2" l="1"/>
  <c r="S63" i="3"/>
  <c r="R48" i="3"/>
  <c r="R50" i="3"/>
  <c r="R53" i="3" s="1"/>
  <c r="S41" i="2"/>
  <c r="R50" i="7"/>
  <c r="R52" i="7"/>
  <c r="R51" i="3" l="1"/>
  <c r="R52" i="3" s="1"/>
  <c r="S49" i="7"/>
  <c r="S54" i="7" s="1"/>
  <c r="S44" i="2"/>
  <c r="U42" i="1"/>
  <c r="U43" i="1" s="1"/>
  <c r="S47" i="3" l="1"/>
  <c r="S64" i="3"/>
  <c r="T42" i="2"/>
  <c r="T43" i="2"/>
  <c r="T63" i="3"/>
  <c r="T41" i="2"/>
  <c r="U41" i="1"/>
  <c r="U44" i="1" s="1"/>
  <c r="T49" i="7" l="1"/>
  <c r="T54" i="7" s="1"/>
  <c r="T44" i="2"/>
  <c r="S50" i="3"/>
  <c r="S53" i="3" s="1"/>
  <c r="S48" i="3"/>
  <c r="S52" i="7"/>
  <c r="S50" i="7"/>
  <c r="S51" i="3" l="1"/>
  <c r="S52" i="3" s="1"/>
  <c r="T47" i="3"/>
  <c r="T64" i="3"/>
  <c r="U42" i="2"/>
  <c r="V42" i="1"/>
  <c r="V43" i="1" s="1"/>
  <c r="U43" i="2" l="1"/>
  <c r="U63" i="3"/>
  <c r="U41" i="2"/>
  <c r="T50" i="3"/>
  <c r="T53" i="3" s="1"/>
  <c r="T48" i="3"/>
  <c r="T52" i="7"/>
  <c r="T50" i="7"/>
  <c r="V41" i="1"/>
  <c r="V44" i="1" s="1"/>
  <c r="T51" i="3" l="1"/>
  <c r="T52" i="3" s="1"/>
  <c r="U49" i="7"/>
  <c r="U54" i="7" s="1"/>
  <c r="U44" i="2"/>
  <c r="V42" i="2"/>
  <c r="W42" i="1"/>
  <c r="W43" i="1" s="1"/>
  <c r="U47" i="3" l="1"/>
  <c r="U64" i="3"/>
  <c r="V43" i="2"/>
  <c r="V63" i="3"/>
  <c r="V41" i="2"/>
  <c r="W41" i="1"/>
  <c r="W44" i="1" s="1"/>
  <c r="V49" i="7" l="1"/>
  <c r="V54" i="7" s="1"/>
  <c r="V44" i="2"/>
  <c r="U50" i="7"/>
  <c r="U52" i="7"/>
  <c r="U50" i="3"/>
  <c r="U53" i="3" s="1"/>
  <c r="U48" i="3"/>
  <c r="U51" i="3" l="1"/>
  <c r="U52" i="3" s="1"/>
  <c r="V47" i="3"/>
  <c r="V64" i="3"/>
  <c r="W42" i="2"/>
  <c r="X42" i="1"/>
  <c r="X43" i="1" s="1"/>
  <c r="W43" i="2" l="1"/>
  <c r="W63" i="3"/>
  <c r="V50" i="3"/>
  <c r="V53" i="3" s="1"/>
  <c r="V48" i="3"/>
  <c r="W41" i="2"/>
  <c r="V52" i="7"/>
  <c r="V50" i="7"/>
  <c r="X41" i="1"/>
  <c r="X44" i="1" s="1"/>
  <c r="V51" i="3" l="1"/>
  <c r="V52" i="3" s="1"/>
  <c r="W49" i="7"/>
  <c r="W54" i="7" s="1"/>
  <c r="W44" i="2"/>
  <c r="Y42" i="1"/>
  <c r="Y43" i="1" s="1"/>
  <c r="W47" i="3" l="1"/>
  <c r="W64" i="3"/>
  <c r="X42" i="2"/>
  <c r="Y41" i="1"/>
  <c r="Y44" i="1" s="1"/>
  <c r="X43" i="2" l="1"/>
  <c r="X63" i="3"/>
  <c r="W48" i="3"/>
  <c r="W50" i="3"/>
  <c r="W53" i="3" s="1"/>
  <c r="X41" i="2"/>
  <c r="W52" i="7"/>
  <c r="W50" i="7"/>
  <c r="W51" i="3" l="1"/>
  <c r="W52" i="3" s="1"/>
  <c r="X49" i="7"/>
  <c r="X54" i="7" s="1"/>
  <c r="X44" i="2"/>
  <c r="Y42" i="2"/>
  <c r="Z42" i="1"/>
  <c r="Z43" i="1" s="1"/>
  <c r="X47" i="3" l="1"/>
  <c r="X64" i="3"/>
  <c r="Y43" i="2"/>
  <c r="Y63" i="3"/>
  <c r="Y41" i="2"/>
  <c r="Z41" i="1"/>
  <c r="Z44" i="1" s="1"/>
  <c r="Y49" i="7" l="1"/>
  <c r="Y54" i="7" s="1"/>
  <c r="Y44" i="2"/>
  <c r="X50" i="3"/>
  <c r="X53" i="3" s="1"/>
  <c r="X48" i="3"/>
  <c r="X50" i="7"/>
  <c r="X52" i="7"/>
  <c r="AA42" i="1"/>
  <c r="AA43" i="1" s="1"/>
  <c r="X51" i="3" l="1"/>
  <c r="X52" i="3" s="1"/>
  <c r="Y47" i="3"/>
  <c r="Y64" i="3"/>
  <c r="Z42" i="2"/>
  <c r="AA41" i="1"/>
  <c r="AA44" i="1" s="1"/>
  <c r="Z43" i="2" l="1"/>
  <c r="Z63" i="3"/>
  <c r="D70" i="9"/>
  <c r="D68" i="9"/>
  <c r="Y50" i="7"/>
  <c r="Y52" i="7"/>
  <c r="Z41" i="2"/>
  <c r="Y50" i="3"/>
  <c r="Y53" i="3" s="1"/>
  <c r="Y48" i="3"/>
  <c r="Y51" i="3" l="1"/>
  <c r="Y52" i="3" s="1"/>
  <c r="Z49" i="7"/>
  <c r="Z54" i="7" s="1"/>
  <c r="Z44" i="2"/>
  <c r="AB42" i="1"/>
  <c r="AB43" i="1" s="1"/>
  <c r="Z47" i="3" l="1"/>
  <c r="Z64" i="3"/>
  <c r="AA42" i="2"/>
  <c r="AB41" i="1"/>
  <c r="AB44" i="1" s="1"/>
  <c r="AA43" i="2" l="1"/>
  <c r="AA63" i="3"/>
  <c r="Z50" i="3"/>
  <c r="Z53" i="3" s="1"/>
  <c r="Z48" i="3"/>
  <c r="Z50" i="7"/>
  <c r="Z52" i="7"/>
  <c r="AA41" i="2"/>
  <c r="AC42" i="1"/>
  <c r="AC43" i="1" s="1"/>
  <c r="Z51" i="3" l="1"/>
  <c r="Z52" i="3" s="1"/>
  <c r="AA49" i="7"/>
  <c r="AA54" i="7" s="1"/>
  <c r="AA44" i="2"/>
  <c r="AC41" i="1"/>
  <c r="AC44" i="1" s="1"/>
  <c r="AB42" i="2" l="1"/>
  <c r="AA47" i="3"/>
  <c r="AA64" i="3"/>
  <c r="AB43" i="2"/>
  <c r="AB63" i="3"/>
  <c r="AB41" i="2"/>
  <c r="AB49" i="7" l="1"/>
  <c r="AB54" i="7" s="1"/>
  <c r="AB44" i="2"/>
  <c r="AA48" i="3"/>
  <c r="AA50" i="3"/>
  <c r="AA53" i="3" s="1"/>
  <c r="AA52" i="7"/>
  <c r="AA50" i="7"/>
  <c r="AA51" i="3" l="1"/>
  <c r="AA52" i="3" s="1"/>
  <c r="AB47" i="3"/>
  <c r="AB64" i="3"/>
  <c r="AC42" i="2"/>
  <c r="AC43" i="2" l="1"/>
  <c r="AC63" i="3"/>
  <c r="AB50" i="7"/>
  <c r="AB52" i="7"/>
  <c r="AB48" i="3"/>
  <c r="AB50" i="3"/>
  <c r="AB53" i="3" s="1"/>
  <c r="AC41" i="2"/>
  <c r="AB51" i="3" l="1"/>
  <c r="AB52" i="3" s="1"/>
  <c r="D71" i="7"/>
  <c r="AC44" i="2"/>
  <c r="D58" i="3" l="1"/>
  <c r="AC64" i="3"/>
  <c r="AC47" i="3"/>
  <c r="AC50" i="3" s="1"/>
  <c r="AC53" i="3" s="1"/>
  <c r="AC49" i="7"/>
  <c r="AC54" i="7" s="1"/>
  <c r="D55" i="3" l="1"/>
  <c r="AC48" i="3"/>
  <c r="D59" i="7"/>
  <c r="D64" i="7" s="1"/>
  <c r="AC50" i="7"/>
  <c r="AC52" i="7"/>
  <c r="D57" i="3"/>
  <c r="AC51" i="3"/>
  <c r="AC52" i="3" s="1"/>
  <c r="D56" i="3" s="1"/>
  <c r="E56" i="7" l="1"/>
  <c r="E57" i="7" l="1"/>
  <c r="D65" i="7"/>
  <c r="E58" i="7" l="1"/>
  <c r="E59" i="7" s="1"/>
  <c r="F56" i="7" s="1"/>
  <c r="E61" i="7" l="1"/>
  <c r="F57" i="7"/>
  <c r="E64" i="7" l="1"/>
  <c r="E65" i="7" s="1"/>
  <c r="E66" i="7" s="1"/>
  <c r="E62" i="7"/>
  <c r="F58" i="7"/>
  <c r="F59" i="7" s="1"/>
  <c r="G56" i="7" s="1"/>
  <c r="G57" i="7" s="1"/>
  <c r="F61" i="7" l="1"/>
  <c r="G58" i="7"/>
  <c r="G59" i="7" s="1"/>
  <c r="H56" i="7" s="1"/>
  <c r="H57" i="7" l="1"/>
  <c r="G61" i="7"/>
  <c r="F64" i="7"/>
  <c r="F62" i="7"/>
  <c r="G64" i="7" l="1"/>
  <c r="G65" i="7" s="1"/>
  <c r="G62" i="7"/>
  <c r="F65" i="7"/>
  <c r="F66" i="7" s="1"/>
  <c r="H58" i="7"/>
  <c r="H59" i="7" s="1"/>
  <c r="I56" i="7" s="1"/>
  <c r="H61" i="7" l="1"/>
  <c r="H64" i="7" s="1"/>
  <c r="G66" i="7"/>
  <c r="I57" i="7"/>
  <c r="H62" i="7" l="1"/>
  <c r="H65" i="7"/>
  <c r="H66" i="7" s="1"/>
  <c r="I58" i="7"/>
  <c r="I59" i="7" s="1"/>
  <c r="J56" i="7" s="1"/>
  <c r="I61" i="7"/>
  <c r="I64" i="7" l="1"/>
  <c r="I62" i="7"/>
  <c r="J57" i="7"/>
  <c r="J58" i="7" l="1"/>
  <c r="J59" i="7" s="1"/>
  <c r="K56" i="7" s="1"/>
  <c r="I65" i="7"/>
  <c r="I66" i="7" l="1"/>
  <c r="J61" i="7"/>
  <c r="K57" i="7"/>
  <c r="K58" i="7" l="1"/>
  <c r="K59" i="7" s="1"/>
  <c r="L56" i="7" s="1"/>
  <c r="J64" i="7"/>
  <c r="J62" i="7"/>
  <c r="L57" i="7" l="1"/>
  <c r="J65" i="7"/>
  <c r="J66" i="7" s="1"/>
  <c r="K61" i="7"/>
  <c r="K64" i="7" l="1"/>
  <c r="K62" i="7"/>
  <c r="L58" i="7"/>
  <c r="L59" i="7" s="1"/>
  <c r="M56" i="7" s="1"/>
  <c r="L61" i="7" l="1"/>
  <c r="L64" i="7" s="1"/>
  <c r="L65" i="7" s="1"/>
  <c r="M57" i="7"/>
  <c r="K65" i="7"/>
  <c r="K66" i="7" s="1"/>
  <c r="L62" i="7" l="1"/>
  <c r="L66" i="7"/>
  <c r="M58" i="7"/>
  <c r="M59" i="7" s="1"/>
  <c r="N56" i="7" s="1"/>
  <c r="M61" i="7" l="1"/>
  <c r="M64" i="7" s="1"/>
  <c r="N57" i="7"/>
  <c r="M62" i="7" l="1"/>
  <c r="N58" i="7"/>
  <c r="N59" i="7" s="1"/>
  <c r="O56" i="7" s="1"/>
  <c r="M65" i="7"/>
  <c r="M66" i="7" s="1"/>
  <c r="N61" i="7" l="1"/>
  <c r="N64" i="7" s="1"/>
  <c r="O57" i="7"/>
  <c r="N62" i="7" l="1"/>
  <c r="O58" i="7"/>
  <c r="O59" i="7" s="1"/>
  <c r="P56" i="7" s="1"/>
  <c r="N65" i="7"/>
  <c r="O61" i="7" l="1"/>
  <c r="O64" i="7" s="1"/>
  <c r="N66" i="7"/>
  <c r="P57" i="7"/>
  <c r="O62" i="7" l="1"/>
  <c r="P58" i="7"/>
  <c r="P59" i="7" s="1"/>
  <c r="Q56" i="7" s="1"/>
  <c r="O65" i="7"/>
  <c r="P61" i="7" l="1"/>
  <c r="P62" i="7" s="1"/>
  <c r="O66" i="7"/>
  <c r="Q57" i="7"/>
  <c r="P64" i="7" l="1"/>
  <c r="P65" i="7" s="1"/>
  <c r="Q58" i="7"/>
  <c r="Q59" i="7" s="1"/>
  <c r="R56" i="7" s="1"/>
  <c r="P66" i="7" l="1"/>
  <c r="Q61" i="7"/>
  <c r="R57" i="7"/>
  <c r="R58" i="7" l="1"/>
  <c r="R59" i="7" s="1"/>
  <c r="S56" i="7" s="1"/>
  <c r="Q64" i="7"/>
  <c r="Q62" i="7"/>
  <c r="R61" i="7" l="1"/>
  <c r="R64" i="7" s="1"/>
  <c r="R65" i="7" s="1"/>
  <c r="Q65" i="7"/>
  <c r="Q66" i="7" s="1"/>
  <c r="S57" i="7"/>
  <c r="R62" i="7" l="1"/>
  <c r="R66" i="7"/>
  <c r="S58" i="7"/>
  <c r="S59" i="7" s="1"/>
  <c r="T56" i="7" s="1"/>
  <c r="T57" i="7" l="1"/>
  <c r="S61" i="7"/>
  <c r="S64" i="7" l="1"/>
  <c r="S62" i="7"/>
  <c r="T58" i="7"/>
  <c r="T59" i="7" s="1"/>
  <c r="U56" i="7" s="1"/>
  <c r="T61" i="7" l="1"/>
  <c r="T64" i="7" s="1"/>
  <c r="T65" i="7" s="1"/>
  <c r="U57" i="7"/>
  <c r="S65" i="7"/>
  <c r="S66" i="7" s="1"/>
  <c r="T62" i="7" l="1"/>
  <c r="U58" i="7"/>
  <c r="U59" i="7" s="1"/>
  <c r="V56" i="7" s="1"/>
  <c r="T66" i="7"/>
  <c r="U61" i="7" l="1"/>
  <c r="U64" i="7" s="1"/>
  <c r="V57" i="7"/>
  <c r="U62" i="7" l="1"/>
  <c r="V58" i="7"/>
  <c r="V59" i="7" s="1"/>
  <c r="W56" i="7" s="1"/>
  <c r="W57" i="7" s="1"/>
  <c r="U65" i="7"/>
  <c r="V61" i="7" l="1"/>
  <c r="V64" i="7"/>
  <c r="V62" i="7"/>
  <c r="U66" i="7"/>
  <c r="W58" i="7"/>
  <c r="W59" i="7" s="1"/>
  <c r="X56" i="7" s="1"/>
  <c r="W61" i="7"/>
  <c r="W64" i="7" l="1"/>
  <c r="W65" i="7" s="1"/>
  <c r="W62" i="7"/>
  <c r="X57" i="7"/>
  <c r="V65" i="7"/>
  <c r="V66" i="7" s="1"/>
  <c r="X58" i="7" l="1"/>
  <c r="X59" i="7" s="1"/>
  <c r="Y56" i="7" s="1"/>
  <c r="W66" i="7"/>
  <c r="X61" i="7" l="1"/>
  <c r="X64" i="7" s="1"/>
  <c r="Y57" i="7"/>
  <c r="X62" i="7" l="1"/>
  <c r="Y58" i="7"/>
  <c r="Y59" i="7" s="1"/>
  <c r="Z56" i="7" s="1"/>
  <c r="Z57" i="7" s="1"/>
  <c r="Y61" i="7"/>
  <c r="X65" i="7"/>
  <c r="X66" i="7" l="1"/>
  <c r="Y64" i="7"/>
  <c r="Y62" i="7"/>
  <c r="Z58" i="7"/>
  <c r="Z59" i="7" s="1"/>
  <c r="AA56" i="7" s="1"/>
  <c r="Z61" i="7" l="1"/>
  <c r="Z64" i="7" s="1"/>
  <c r="Z65" i="7" s="1"/>
  <c r="AA57" i="7"/>
  <c r="Y65" i="7"/>
  <c r="Z62" i="7" l="1"/>
  <c r="Z66" i="7"/>
  <c r="Y66" i="7"/>
  <c r="AA58" i="7"/>
  <c r="AA59" i="7" s="1"/>
  <c r="AB56" i="7" s="1"/>
  <c r="AB57" i="7" s="1"/>
  <c r="AA61" i="7" l="1"/>
  <c r="AA64" i="7"/>
  <c r="AA62" i="7"/>
  <c r="AB58" i="7"/>
  <c r="AB59" i="7" s="1"/>
  <c r="AC56" i="7" s="1"/>
  <c r="AB61" i="7" l="1"/>
  <c r="AB64" i="7" s="1"/>
  <c r="AB65" i="7" s="1"/>
  <c r="AC57" i="7"/>
  <c r="AA65" i="7"/>
  <c r="AB62" i="7" l="1"/>
  <c r="AB66" i="7"/>
  <c r="AA66" i="7"/>
  <c r="AC58" i="7"/>
  <c r="AC59" i="7" s="1"/>
  <c r="AC61" i="7"/>
  <c r="AC64" i="7" l="1"/>
  <c r="AC62" i="7"/>
  <c r="D70" i="7" l="1"/>
  <c r="AC65" i="7"/>
  <c r="AC66" i="7" s="1"/>
  <c r="D69" i="7" s="1"/>
  <c r="D68" i="7"/>
</calcChain>
</file>

<file path=xl/sharedStrings.xml><?xml version="1.0" encoding="utf-8"?>
<sst xmlns="http://schemas.openxmlformats.org/spreadsheetml/2006/main" count="335" uniqueCount="91">
  <si>
    <t>Plant Capacity</t>
  </si>
  <si>
    <t>Operating Expenses</t>
  </si>
  <si>
    <t>MW</t>
  </si>
  <si>
    <t>per KW-Year</t>
  </si>
  <si>
    <t>per MWh</t>
  </si>
  <si>
    <t>PPA Price (year 1)</t>
  </si>
  <si>
    <t>PPA Escalation Rate</t>
  </si>
  <si>
    <t>Inflation Factor</t>
  </si>
  <si>
    <t>P-50 Capacity Factor</t>
  </si>
  <si>
    <t>Electricity Production</t>
  </si>
  <si>
    <t>PPA Rate</t>
  </si>
  <si>
    <t>EBITDA</t>
  </si>
  <si>
    <t>PPA Escalation Factor</t>
  </si>
  <si>
    <t>CFADS</t>
  </si>
  <si>
    <t>Mandatory Debt Service (Sizing)</t>
  </si>
  <si>
    <t>Sizing DSCR</t>
  </si>
  <si>
    <t>Beginning Principal</t>
  </si>
  <si>
    <t>Amortization</t>
  </si>
  <si>
    <t>Ending Principal</t>
  </si>
  <si>
    <t>Interest Rate</t>
  </si>
  <si>
    <t>Total Debt Service</t>
  </si>
  <si>
    <t>Actual DSCR</t>
  </si>
  <si>
    <t>Total Capital Cost</t>
  </si>
  <si>
    <t>per KW</t>
  </si>
  <si>
    <t>Capital Cost</t>
  </si>
  <si>
    <t>Equity Cash Flows</t>
  </si>
  <si>
    <t>Pre-Tax Equity IRR</t>
  </si>
  <si>
    <t>Equity Breakeven Period</t>
  </si>
  <si>
    <t>Debt WAL</t>
  </si>
  <si>
    <t>Equity MOIC</t>
  </si>
  <si>
    <t>years</t>
  </si>
  <si>
    <t>CFADS after First-Lien</t>
  </si>
  <si>
    <t>Cash Flow for Second-lien Debt Sizing</t>
  </si>
  <si>
    <t>Sizing DSCR (First-Lien)</t>
  </si>
  <si>
    <t>Sizing DSCR (Second-Lien)</t>
  </si>
  <si>
    <t>Interest Rate (First-Lien)</t>
  </si>
  <si>
    <t>Interest Rate (Second-Lien)</t>
  </si>
  <si>
    <t>Total Debt Service (First-Lien)</t>
  </si>
  <si>
    <t>Actual DSCR (First-Lien)</t>
  </si>
  <si>
    <t>Total Debt Service (Second-Lien)</t>
  </si>
  <si>
    <t>Actual DSCR (Second-Lien)</t>
  </si>
  <si>
    <t>Mandatory Amortization</t>
  </si>
  <si>
    <t>Cash Sweep</t>
  </si>
  <si>
    <t>Debt Term</t>
  </si>
  <si>
    <t>Sizing</t>
  </si>
  <si>
    <t>First-lien Debt Term</t>
  </si>
  <si>
    <t>CFADS for First-lien Debt Sizing</t>
  </si>
  <si>
    <t>First-Lien Interest Rate</t>
  </si>
  <si>
    <t>P-99 Capacity Factor</t>
  </si>
  <si>
    <t>Period</t>
  </si>
  <si>
    <t>%</t>
  </si>
  <si>
    <t>Ratio</t>
  </si>
  <si>
    <t>Assumptions</t>
  </si>
  <si>
    <t>Hours in Year</t>
  </si>
  <si>
    <t>Conversion to USD 000</t>
  </si>
  <si>
    <t>Hours</t>
  </si>
  <si>
    <t>USD</t>
  </si>
  <si>
    <t>Unit</t>
  </si>
  <si>
    <t>Electricitiy Revenue</t>
  </si>
  <si>
    <t>Less: Operating Expense</t>
  </si>
  <si>
    <t>Cash Flow Available for Debt Service (CFADS)</t>
  </si>
  <si>
    <t>Less: Interest Expense</t>
  </si>
  <si>
    <t>Less: Amortization</t>
  </si>
  <si>
    <t>Debt Schedule</t>
  </si>
  <si>
    <t>Debt Sizing</t>
  </si>
  <si>
    <t>P-50 Production Scenario</t>
  </si>
  <si>
    <t>Pro Forma</t>
  </si>
  <si>
    <t>P-99 Production Scenario</t>
  </si>
  <si>
    <t>Sponsor Economics (P-50 Production Scenario)</t>
  </si>
  <si>
    <t>USD 000</t>
  </si>
  <si>
    <t>Cumulative Equity Cash Flows</t>
  </si>
  <si>
    <t>Breakeven Year Calculation</t>
  </si>
  <si>
    <t>Second-Lien Debt</t>
  </si>
  <si>
    <t>Sponsor Returns with First-lien Debt Only</t>
  </si>
  <si>
    <t>Sponsor Returns with Second-lien Debt Added</t>
  </si>
  <si>
    <t>Pre-Tax Equity IRR (with second-lien added)</t>
  </si>
  <si>
    <t>Term Loan B Structure</t>
  </si>
  <si>
    <t>Years</t>
  </si>
  <si>
    <t>Less: Mandatory Amortization</t>
  </si>
  <si>
    <t>Less: Cash Sweep</t>
  </si>
  <si>
    <t>Quasi-Merchant Project</t>
  </si>
  <si>
    <t>Sponsor Returns for Quasi-Merchant Project</t>
  </si>
  <si>
    <t>Sponsor Returns with Term Loan B Cash Sweep</t>
  </si>
  <si>
    <t>For exhibit</t>
  </si>
  <si>
    <t>Interest Expense</t>
  </si>
  <si>
    <t>Mandatory Debt Service (Sizing) - P50</t>
  </si>
  <si>
    <t>Mandatory Debt Service (Sizing) - P99</t>
  </si>
  <si>
    <t>Mandatory Debt Service (Sizing) - Minimum</t>
  </si>
  <si>
    <t>Mandatory Amortization (Second-Lien)</t>
  </si>
  <si>
    <t>Debt Sizing (Second-Lien)</t>
  </si>
  <si>
    <t>$/kW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</si>
</sst>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6" formatCode="&quot;$&quot;#,##0_);[Red]\(&quot;$&quot;#,##0\)"/>
    <numFmt numFmtId="8" formatCode="&quot;$&quot;#,##0.00_);[Red]\(&quot;$&quot;#,##0.00\)"/>
    <numFmt numFmtId="43" formatCode="_(* #,##0.00_);_(* \(#,##0.00\);_(* &quot;-&quot;??_);_(@_)"/>
    <numFmt numFmtId="164" formatCode="0.00\x"/>
    <numFmt numFmtId="165" formatCode="_(* #,##0_);_(* \(#,##0\);_(* &quot;-&quot;??_);_(@_)"/>
    <numFmt numFmtId="166" formatCode="&quot;$&quot;#,##0.00"/>
    <numFmt numFmtId="167" formatCode="0.00\x\ "/>
    <numFmt numFmtId="168" formatCode="0.0%_);\(0.0%\);&quot;–&quot;_)"/>
    <numFmt numFmtId="169" formatCode="&quot;$&quot;#,##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u/>
      <sz val="11"/>
      <color theme="1"/>
      <name val="Arial"/>
      <family val="2"/>
    </font>
    <font>
      <b/>
      <sz val="13"/>
      <color theme="1"/>
      <name val="Arial"/>
      <family val="2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b/>
      <sz val="11"/>
      <name val="Arial"/>
      <family val="2"/>
    </font>
    <font>
      <u/>
      <sz val="11"/>
      <name val="Arial"/>
      <family val="2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3">
    <xf numFmtId="0" fontId="0" fillId="0" borderId="0" xfId="0"/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10" fontId="3" fillId="0" borderId="0" xfId="0" applyNumberFormat="1" applyFont="1" applyAlignment="1">
      <alignment horizontal="center"/>
    </xf>
    <xf numFmtId="2" fontId="3" fillId="0" borderId="0" xfId="0" applyNumberFormat="1" applyFont="1" applyAlignment="1">
      <alignment horizontal="center"/>
    </xf>
    <xf numFmtId="6" fontId="3" fillId="0" borderId="0" xfId="0" applyNumberFormat="1" applyFont="1"/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3" fillId="0" borderId="1" xfId="0" applyFont="1" applyBorder="1"/>
    <xf numFmtId="0" fontId="3" fillId="0" borderId="2" xfId="0" applyFont="1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Continuous"/>
    </xf>
    <xf numFmtId="0" fontId="3" fillId="0" borderId="2" xfId="0" applyFont="1" applyBorder="1" applyAlignment="1">
      <alignment horizontal="left"/>
    </xf>
    <xf numFmtId="165" fontId="3" fillId="0" borderId="0" xfId="1" applyNumberFormat="1" applyFont="1" applyAlignment="1">
      <alignment horizontal="center"/>
    </xf>
    <xf numFmtId="165" fontId="3" fillId="0" borderId="0" xfId="1" applyNumberFormat="1" applyFont="1"/>
    <xf numFmtId="43" fontId="3" fillId="0" borderId="0" xfId="1" applyNumberFormat="1" applyFont="1" applyAlignment="1">
      <alignment horizontal="center"/>
    </xf>
    <xf numFmtId="8" fontId="3" fillId="0" borderId="0" xfId="0" applyNumberFormat="1" applyFont="1" applyAlignment="1">
      <alignment horizontal="right"/>
    </xf>
    <xf numFmtId="165" fontId="3" fillId="0" borderId="0" xfId="1" applyNumberFormat="1" applyFont="1" applyAlignment="1">
      <alignment horizontal="right"/>
    </xf>
    <xf numFmtId="0" fontId="3" fillId="0" borderId="0" xfId="0" applyFont="1" applyAlignment="1">
      <alignment horizontal="left" indent="1"/>
    </xf>
    <xf numFmtId="0" fontId="3" fillId="0" borderId="1" xfId="0" applyFont="1" applyBorder="1" applyAlignment="1">
      <alignment horizontal="left"/>
    </xf>
    <xf numFmtId="165" fontId="3" fillId="0" borderId="1" xfId="1" applyNumberFormat="1" applyFont="1" applyBorder="1"/>
    <xf numFmtId="0" fontId="5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2" borderId="0" xfId="0" applyFont="1" applyFill="1"/>
    <xf numFmtId="0" fontId="8" fillId="2" borderId="0" xfId="0" applyFont="1" applyFill="1"/>
    <xf numFmtId="0" fontId="3" fillId="0" borderId="0" xfId="0" applyFont="1" applyBorder="1" applyAlignment="1">
      <alignment horizont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6" fillId="0" borderId="0" xfId="0" applyFont="1"/>
    <xf numFmtId="164" fontId="3" fillId="0" borderId="0" xfId="0" applyNumberFormat="1" applyFont="1" applyAlignment="1">
      <alignment horizontal="center"/>
    </xf>
    <xf numFmtId="166" fontId="3" fillId="0" borderId="0" xfId="0" applyNumberFormat="1" applyFont="1" applyAlignment="1">
      <alignment horizontal="right"/>
    </xf>
    <xf numFmtId="165" fontId="3" fillId="0" borderId="1" xfId="1" applyNumberFormat="1" applyFont="1" applyBorder="1" applyAlignment="1">
      <alignment horizontal="center"/>
    </xf>
    <xf numFmtId="167" fontId="4" fillId="0" borderId="0" xfId="0" applyNumberFormat="1" applyFont="1" applyAlignment="1">
      <alignment horizontal="right"/>
    </xf>
    <xf numFmtId="0" fontId="3" fillId="0" borderId="3" xfId="0" applyFont="1" applyBorder="1" applyAlignment="1">
      <alignment horizontal="left"/>
    </xf>
    <xf numFmtId="10" fontId="3" fillId="0" borderId="1" xfId="0" applyNumberFormat="1" applyFont="1" applyBorder="1" applyAlignment="1">
      <alignment horizontal="center"/>
    </xf>
    <xf numFmtId="0" fontId="3" fillId="0" borderId="4" xfId="0" applyFont="1" applyBorder="1"/>
    <xf numFmtId="0" fontId="3" fillId="0" borderId="5" xfId="0" applyFont="1" applyBorder="1" applyAlignment="1">
      <alignment horizontal="left"/>
    </xf>
    <xf numFmtId="2" fontId="3" fillId="0" borderId="0" xfId="0" applyNumberFormat="1" applyFont="1" applyBorder="1" applyAlignment="1">
      <alignment horizontal="center"/>
    </xf>
    <xf numFmtId="0" fontId="3" fillId="0" borderId="6" xfId="0" applyFont="1" applyBorder="1"/>
    <xf numFmtId="164" fontId="3" fillId="0" borderId="0" xfId="0" applyNumberFormat="1" applyFont="1" applyBorder="1" applyAlignment="1">
      <alignment horizontal="center"/>
    </xf>
    <xf numFmtId="0" fontId="3" fillId="0" borderId="7" xfId="0" applyFont="1" applyBorder="1" applyAlignment="1">
      <alignment horizontal="left"/>
    </xf>
    <xf numFmtId="2" fontId="3" fillId="0" borderId="2" xfId="0" applyNumberFormat="1" applyFont="1" applyBorder="1" applyAlignment="1">
      <alignment horizontal="center"/>
    </xf>
    <xf numFmtId="0" fontId="3" fillId="0" borderId="8" xfId="0" applyFont="1" applyBorder="1"/>
    <xf numFmtId="0" fontId="3" fillId="0" borderId="6" xfId="0" applyFont="1" applyBorder="1" applyAlignment="1"/>
    <xf numFmtId="0" fontId="3" fillId="0" borderId="8" xfId="0" applyFont="1" applyBorder="1" applyAlignment="1"/>
    <xf numFmtId="166" fontId="3" fillId="0" borderId="0" xfId="1" applyNumberFormat="1" applyFont="1" applyAlignment="1">
      <alignment horizontal="center"/>
    </xf>
    <xf numFmtId="167" fontId="3" fillId="0" borderId="0" xfId="0" applyNumberFormat="1" applyFont="1" applyAlignment="1">
      <alignment horizontal="right"/>
    </xf>
    <xf numFmtId="0" fontId="3" fillId="0" borderId="9" xfId="0" applyFont="1" applyBorder="1" applyAlignment="1">
      <alignment horizontal="left"/>
    </xf>
    <xf numFmtId="10" fontId="3" fillId="0" borderId="10" xfId="0" applyNumberFormat="1" applyFont="1" applyBorder="1" applyAlignment="1">
      <alignment horizontal="center"/>
    </xf>
    <xf numFmtId="164" fontId="3" fillId="0" borderId="0" xfId="0" applyNumberFormat="1" applyFont="1" applyAlignment="1">
      <alignment horizontal="left"/>
    </xf>
    <xf numFmtId="166" fontId="3" fillId="0" borderId="0" xfId="1" applyNumberFormat="1" applyFont="1" applyAlignment="1">
      <alignment horizontal="right"/>
    </xf>
    <xf numFmtId="168" fontId="4" fillId="0" borderId="0" xfId="0" applyNumberFormat="1" applyFont="1" applyAlignment="1">
      <alignment horizontal="right"/>
    </xf>
    <xf numFmtId="169" fontId="3" fillId="0" borderId="0" xfId="0" applyNumberFormat="1" applyFont="1" applyAlignment="1">
      <alignment horizontal="right"/>
    </xf>
    <xf numFmtId="165" fontId="3" fillId="0" borderId="0" xfId="0" applyNumberFormat="1" applyFont="1"/>
    <xf numFmtId="9" fontId="3" fillId="0" borderId="0" xfId="0" applyNumberFormat="1" applyFont="1"/>
    <xf numFmtId="10" fontId="3" fillId="0" borderId="0" xfId="0" applyNumberFormat="1" applyFont="1"/>
    <xf numFmtId="165" fontId="3" fillId="0" borderId="11" xfId="1" applyNumberFormat="1" applyFont="1" applyBorder="1" applyAlignment="1">
      <alignment horizontal="center"/>
    </xf>
    <xf numFmtId="0" fontId="3" fillId="0" borderId="0" xfId="0" applyFont="1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6.xml"/><Relationship Id="rId3" Type="http://schemas.openxmlformats.org/officeDocument/2006/relationships/chartsheet" Target="chartsheets/sheet1.xml"/><Relationship Id="rId7" Type="http://schemas.openxmlformats.org/officeDocument/2006/relationships/worksheet" Target="worksheets/sheet5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4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3.xml"/><Relationship Id="rId10" Type="http://schemas.openxmlformats.org/officeDocument/2006/relationships/styles" Target="styles.xml"/><Relationship Id="rId4" Type="http://schemas.openxmlformats.org/officeDocument/2006/relationships/chartsheet" Target="chartsheets/sheet2.xml"/><Relationship Id="rId9" Type="http://schemas.openxmlformats.org/officeDocument/2006/relationships/theme" Target="theme/them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First-lien Debt Service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7.995720160811208E-2"/>
          <c:y val="6.8240871565079603E-2"/>
          <c:w val="0.91030379936667616"/>
          <c:h val="0.77228500995739691"/>
        </c:manualLayout>
      </c:layout>
      <c:barChart>
        <c:barDir val="col"/>
        <c:grouping val="stacked"/>
        <c:varyColors val="0"/>
        <c:ser>
          <c:idx val="0"/>
          <c:order val="0"/>
          <c:invertIfNegative val="0"/>
          <c:val>
            <c:numRef>
              <c:f>'Returns with first-lien debt'!$E$24:$AC$24</c:f>
              <c:numCache>
                <c:formatCode>General</c:formatCode>
                <c:ptCount val="2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EC5-412E-8B39-4367A9C58BA5}"/>
            </c:ext>
          </c:extLst>
        </c:ser>
        <c:ser>
          <c:idx val="1"/>
          <c:order val="1"/>
          <c:tx>
            <c:v>Mandatory Amortization</c:v>
          </c:tx>
          <c:invertIfNegative val="0"/>
          <c:val>
            <c:numRef>
              <c:f>'Returns with first-lien debt'!$E$64:$AC$64</c:f>
              <c:numCache>
                <c:formatCode>_(* #,##0_);_(* \(#,##0\);_(* "-"??_);_(@_)</c:formatCode>
                <c:ptCount val="25"/>
                <c:pt idx="0">
                  <c:v>3694.7479321476567</c:v>
                </c:pt>
                <c:pt idx="1">
                  <c:v>4186.6115890942983</c:v>
                </c:pt>
                <c:pt idx="2">
                  <c:v>4706.1211106035389</c:v>
                </c:pt>
                <c:pt idx="3">
                  <c:v>5254.6058005807063</c:v>
                </c:pt>
                <c:pt idx="4">
                  <c:v>5833.4558614068374</c:v>
                </c:pt>
                <c:pt idx="5">
                  <c:v>6444.1251403411406</c:v>
                </c:pt>
                <c:pt idx="6">
                  <c:v>7088.13399924029</c:v>
                </c:pt>
                <c:pt idx="7">
                  <c:v>7767.0723131286759</c:v>
                </c:pt>
                <c:pt idx="8">
                  <c:v>8482.6026034022925</c:v>
                </c:pt>
                <c:pt idx="9">
                  <c:v>9236.4633117082012</c:v>
                </c:pt>
                <c:pt idx="10">
                  <c:v>10030.472220813426</c:v>
                </c:pt>
                <c:pt idx="11">
                  <c:v>10866.530029059999</c:v>
                </c:pt>
                <c:pt idx="12">
                  <c:v>11746.624085299682</c:v>
                </c:pt>
                <c:pt idx="13">
                  <c:v>12672.832291510978</c:v>
                </c:pt>
                <c:pt idx="14">
                  <c:v>13647.327180624998</c:v>
                </c:pt>
                <c:pt idx="15">
                  <c:v>14672.380177424207</c:v>
                </c:pt>
                <c:pt idx="16">
                  <c:v>15750.366050731844</c:v>
                </c:pt>
                <c:pt idx="17">
                  <c:v>16883.767565478294</c:v>
                </c:pt>
                <c:pt idx="18">
                  <c:v>18075.180343616939</c:v>
                </c:pt>
                <c:pt idx="19">
                  <c:v>19327.317943264479</c:v>
                </c:pt>
                <c:pt idx="20">
                  <c:v>20643.017165862173</c:v>
                </c:pt>
                <c:pt idx="21">
                  <c:v>22025.243601594102</c:v>
                </c:pt>
                <c:pt idx="22">
                  <c:v>23477.097423759071</c:v>
                </c:pt>
                <c:pt idx="23">
                  <c:v>25001.819443271997</c:v>
                </c:pt>
                <c:pt idx="24">
                  <c:v>26602.797434974316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EC5-412E-8B39-4367A9C58BA5}"/>
            </c:ext>
          </c:extLst>
        </c:ser>
        <c:ser>
          <c:idx val="2"/>
          <c:order val="2"/>
          <c:tx>
            <c:v>Interest</c:v>
          </c:tx>
          <c:invertIfNegative val="0"/>
          <c:val>
            <c:numRef>
              <c:f>'Returns with first-lien debt'!$E$63:$AC$63</c:f>
              <c:numCache>
                <c:formatCode>_(* #,##0_);_(* \(#,##0\);_(* "-"??_);_(@_)</c:formatCode>
                <c:ptCount val="25"/>
                <c:pt idx="0">
                  <c:v>14585.252067852343</c:v>
                </c:pt>
                <c:pt idx="1">
                  <c:v>14418.9884109057</c:v>
                </c:pt>
                <c:pt idx="2">
                  <c:v>14230.590889396457</c:v>
                </c:pt>
                <c:pt idx="3">
                  <c:v>14018.815439419297</c:v>
                </c:pt>
                <c:pt idx="4">
                  <c:v>13782.358178393166</c:v>
                </c:pt>
                <c:pt idx="5">
                  <c:v>13519.85266462986</c:v>
                </c:pt>
                <c:pt idx="6">
                  <c:v>13229.867033314509</c:v>
                </c:pt>
                <c:pt idx="7">
                  <c:v>12910.901003348696</c:v>
                </c:pt>
                <c:pt idx="8">
                  <c:v>12561.382749257906</c:v>
                </c:pt>
                <c:pt idx="9">
                  <c:v>12179.665632104803</c:v>
                </c:pt>
                <c:pt idx="10">
                  <c:v>11764.024783077934</c:v>
                </c:pt>
                <c:pt idx="11">
                  <c:v>11312.653533141329</c:v>
                </c:pt>
                <c:pt idx="12">
                  <c:v>10823.659681833629</c:v>
                </c:pt>
                <c:pt idx="13">
                  <c:v>10295.061597995144</c:v>
                </c:pt>
                <c:pt idx="14">
                  <c:v>9724.7841448771505</c:v>
                </c:pt>
                <c:pt idx="15">
                  <c:v>9110.6544217490246</c:v>
                </c:pt>
                <c:pt idx="16">
                  <c:v>8450.3973137649355</c:v>
                </c:pt>
                <c:pt idx="17">
                  <c:v>7741.6308414820023</c:v>
                </c:pt>
                <c:pt idx="18">
                  <c:v>6981.8613010354793</c:v>
                </c:pt>
                <c:pt idx="19">
                  <c:v>6168.4781855727169</c:v>
                </c:pt>
                <c:pt idx="20">
                  <c:v>5298.7488781258153</c:v>
                </c:pt>
                <c:pt idx="21">
                  <c:v>4369.8131056620177</c:v>
                </c:pt>
                <c:pt idx="22">
                  <c:v>3378.6771435902833</c:v>
                </c:pt>
                <c:pt idx="23">
                  <c:v>2322.2077595211249</c:v>
                </c:pt>
                <c:pt idx="24">
                  <c:v>1197.1258845738851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FEC5-412E-8B39-4367A9C58B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overlap val="100"/>
        <c:axId val="450374464"/>
        <c:axId val="450374856"/>
      </c:barChart>
      <c:catAx>
        <c:axId val="450374464"/>
        <c:scaling>
          <c:orientation val="minMax"/>
        </c:scaling>
        <c:delete val="0"/>
        <c:axPos val="b"/>
        <c:majorTickMark val="none"/>
        <c:minorTickMark val="none"/>
        <c:tickLblPos val="nextTo"/>
        <c:crossAx val="450374856"/>
        <c:crosses val="autoZero"/>
        <c:auto val="1"/>
        <c:lblAlgn val="ctr"/>
        <c:lblOffset val="100"/>
        <c:noMultiLvlLbl val="0"/>
      </c:catAx>
      <c:valAx>
        <c:axId val="450374856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&quot;$&quot;#,##0" sourceLinked="0"/>
        <c:majorTickMark val="none"/>
        <c:minorTickMark val="none"/>
        <c:tickLblPos val="nextTo"/>
        <c:crossAx val="450374464"/>
        <c:crosses val="autoZero"/>
        <c:crossBetween val="between"/>
      </c:valAx>
    </c:plotArea>
    <c:legend>
      <c:legendPos val="r"/>
      <c:legendEntry>
        <c:idx val="2"/>
        <c:delete val="1"/>
      </c:legendEntry>
      <c:layout>
        <c:manualLayout>
          <c:xMode val="edge"/>
          <c:yMode val="edge"/>
          <c:x val="0.32951612438066347"/>
          <c:y val="0.91249141870928818"/>
          <c:w val="0.34084397044488407"/>
          <c:h val="4.6684446767227709E-2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10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'Returns with first-lien debt'!$D$24:$AC$24</c:f>
              <c:numCache>
                <c:formatCode>General</c:formatCode>
                <c:ptCount val="2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</c:numCache>
            </c:numRef>
          </c:xVal>
          <c:yVal>
            <c:numRef>
              <c:f>'Returns with first-lien debt'!$D$53:$AC$53</c:f>
              <c:numCache>
                <c:formatCode>0.00%</c:formatCode>
                <c:ptCount val="26"/>
                <c:pt idx="0">
                  <c:v>-1</c:v>
                </c:pt>
                <c:pt idx="1">
                  <c:v>-0.90863892718669481</c:v>
                </c:pt>
                <c:pt idx="2">
                  <c:v>-0.64565296771803338</c:v>
                </c:pt>
                <c:pt idx="3">
                  <c:v>-0.43963487163318671</c:v>
                </c:pt>
                <c:pt idx="4">
                  <c:v>-0.29961640867962525</c:v>
                </c:pt>
                <c:pt idx="5">
                  <c:v>-0.20371206970017663</c:v>
                </c:pt>
                <c:pt idx="6">
                  <c:v>-0.13604092970399473</c:v>
                </c:pt>
                <c:pt idx="7">
                  <c:v>-8.6815183640489901E-2</c:v>
                </c:pt>
                <c:pt idx="8">
                  <c:v>-5.0025930857870327E-2</c:v>
                </c:pt>
                <c:pt idx="9">
                  <c:v>-2.188629416328558E-2</c:v>
                </c:pt>
                <c:pt idx="10">
                  <c:v>6.6784281122167499E-5</c:v>
                </c:pt>
                <c:pt idx="11">
                  <c:v>1.7484951791209902E-2</c:v>
                </c:pt>
                <c:pt idx="12">
                  <c:v>3.1506932474236971E-2</c:v>
                </c:pt>
                <c:pt idx="13">
                  <c:v>4.2937507285046195E-2</c:v>
                </c:pt>
                <c:pt idx="14">
                  <c:v>5.2358082843719789E-2</c:v>
                </c:pt>
                <c:pt idx="15">
                  <c:v>6.0196959897176994E-2</c:v>
                </c:pt>
                <c:pt idx="16">
                  <c:v>6.6775171183121262E-2</c:v>
                </c:pt>
                <c:pt idx="17">
                  <c:v>7.2337101960139982E-2</c:v>
                </c:pt>
                <c:pt idx="18">
                  <c:v>7.7071390936816364E-2</c:v>
                </c:pt>
                <c:pt idx="19">
                  <c:v>8.112547845945528E-2</c:v>
                </c:pt>
                <c:pt idx="20">
                  <c:v>8.4615914195674602E-2</c:v>
                </c:pt>
                <c:pt idx="21">
                  <c:v>8.7635779263526725E-2</c:v>
                </c:pt>
                <c:pt idx="22">
                  <c:v>9.0260109961465718E-2</c:v>
                </c:pt>
                <c:pt idx="23">
                  <c:v>9.2549914998549587E-2</c:v>
                </c:pt>
                <c:pt idx="24">
                  <c:v>9.4555188041008043E-2</c:v>
                </c:pt>
                <c:pt idx="25">
                  <c:v>9.6317192743022639E-2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113D-472D-BDB3-AE4B9D0FCA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20682328"/>
        <c:axId val="420675272"/>
      </c:scatterChart>
      <c:valAx>
        <c:axId val="420682328"/>
        <c:scaling>
          <c:orientation val="minMax"/>
          <c:max val="25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420675272"/>
        <c:crosses val="autoZero"/>
        <c:crossBetween val="midCat"/>
        <c:majorUnit val="5"/>
      </c:valAx>
      <c:valAx>
        <c:axId val="420675272"/>
        <c:scaling>
          <c:orientation val="minMax"/>
          <c:max val="0.1"/>
          <c:min val="-1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420682328"/>
        <c:crosses val="autoZero"/>
        <c:crossBetween val="midCat"/>
        <c:majorUnit val="0.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119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68550" cy="629130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44"/>
  <sheetViews>
    <sheetView showGridLines="0" topLeftCell="A3" zoomScale="85" zoomScaleNormal="85" workbookViewId="0">
      <selection activeCell="D44" sqref="D44"/>
    </sheetView>
  </sheetViews>
  <sheetFormatPr defaultColWidth="9.109375" defaultRowHeight="13.8" x14ac:dyDescent="0.25"/>
  <cols>
    <col min="1" max="1" width="2.6640625" style="3" customWidth="1"/>
    <col min="2" max="2" width="30.6640625" style="1" customWidth="1"/>
    <col min="3" max="3" width="9.44140625" style="2" bestFit="1" customWidth="1"/>
    <col min="4" max="29" width="10.33203125" style="3" customWidth="1"/>
    <col min="30" max="16384" width="9.109375" style="3"/>
  </cols>
  <sheetData>
    <row r="1" spans="1:29" ht="16.8" x14ac:dyDescent="0.3">
      <c r="A1" s="26" t="s">
        <v>64</v>
      </c>
      <c r="B1" s="3"/>
    </row>
    <row r="2" spans="1:29" x14ac:dyDescent="0.25">
      <c r="A2" s="9" t="s">
        <v>65</v>
      </c>
      <c r="B2" s="3"/>
    </row>
    <row r="4" spans="1:29" x14ac:dyDescent="0.25">
      <c r="A4" s="27"/>
      <c r="B4" s="27" t="s">
        <v>52</v>
      </c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</row>
    <row r="5" spans="1:29" customFormat="1" ht="14.4" x14ac:dyDescent="0.3"/>
    <row r="6" spans="1:29" x14ac:dyDescent="0.25">
      <c r="B6" s="12"/>
      <c r="C6" s="14"/>
      <c r="D6" s="15" t="s">
        <v>57</v>
      </c>
    </row>
    <row r="7" spans="1:29" ht="14.4" x14ac:dyDescent="0.3">
      <c r="B7" s="9" t="s">
        <v>0</v>
      </c>
      <c r="C7" s="16">
        <v>200</v>
      </c>
      <c r="D7" s="3" t="s">
        <v>2</v>
      </c>
      <c r="F7"/>
      <c r="G7"/>
      <c r="H7"/>
      <c r="I7"/>
      <c r="J7"/>
      <c r="K7"/>
      <c r="L7"/>
    </row>
    <row r="8" spans="1:29" ht="14.4" x14ac:dyDescent="0.3">
      <c r="B8" s="9" t="s">
        <v>8</v>
      </c>
      <c r="C8" s="56">
        <v>0.4</v>
      </c>
      <c r="D8" s="3" t="s">
        <v>50</v>
      </c>
      <c r="F8"/>
      <c r="G8"/>
      <c r="H8"/>
      <c r="I8"/>
      <c r="J8"/>
      <c r="K8"/>
      <c r="L8"/>
    </row>
    <row r="9" spans="1:29" ht="14.4" x14ac:dyDescent="0.3">
      <c r="B9" s="9" t="s">
        <v>1</v>
      </c>
      <c r="C9" s="35">
        <v>40</v>
      </c>
      <c r="D9" s="3" t="s">
        <v>3</v>
      </c>
      <c r="F9"/>
      <c r="G9"/>
      <c r="H9"/>
      <c r="I9"/>
      <c r="J9"/>
      <c r="K9"/>
      <c r="L9"/>
    </row>
    <row r="10" spans="1:29" x14ac:dyDescent="0.25">
      <c r="B10" s="9" t="s">
        <v>5</v>
      </c>
      <c r="C10" s="35">
        <v>50</v>
      </c>
      <c r="D10" s="3" t="s">
        <v>4</v>
      </c>
    </row>
    <row r="11" spans="1:29" x14ac:dyDescent="0.25">
      <c r="B11" s="9" t="s">
        <v>6</v>
      </c>
      <c r="C11" s="56">
        <v>0.02</v>
      </c>
      <c r="D11" s="3" t="s">
        <v>50</v>
      </c>
    </row>
    <row r="12" spans="1:29" x14ac:dyDescent="0.25">
      <c r="B12" s="9" t="s">
        <v>7</v>
      </c>
      <c r="C12" s="56">
        <v>2.5000000000000001E-2</v>
      </c>
      <c r="D12" s="3" t="s">
        <v>50</v>
      </c>
    </row>
    <row r="13" spans="1:29" x14ac:dyDescent="0.25">
      <c r="B13" s="9" t="s">
        <v>15</v>
      </c>
      <c r="C13" s="37">
        <v>1.3</v>
      </c>
      <c r="D13" s="3" t="s">
        <v>51</v>
      </c>
    </row>
    <row r="14" spans="1:29" x14ac:dyDescent="0.25">
      <c r="B14" s="9" t="s">
        <v>19</v>
      </c>
      <c r="C14" s="56">
        <v>4.4999999999999998E-2</v>
      </c>
      <c r="D14" s="3" t="s">
        <v>50</v>
      </c>
    </row>
    <row r="15" spans="1:29" x14ac:dyDescent="0.25">
      <c r="B15" s="9" t="s">
        <v>53</v>
      </c>
      <c r="C15" s="16">
        <v>8760</v>
      </c>
      <c r="D15" s="3" t="s">
        <v>55</v>
      </c>
    </row>
    <row r="16" spans="1:29" x14ac:dyDescent="0.25">
      <c r="B16" s="9" t="s">
        <v>54</v>
      </c>
      <c r="C16" s="16">
        <v>1000</v>
      </c>
      <c r="D16" s="3" t="s">
        <v>56</v>
      </c>
    </row>
    <row r="17" spans="1:29" x14ac:dyDescent="0.25">
      <c r="B17" s="4"/>
    </row>
    <row r="18" spans="1:29" x14ac:dyDescent="0.25">
      <c r="A18" s="27"/>
      <c r="B18" s="27" t="s">
        <v>64</v>
      </c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</row>
    <row r="19" spans="1:29" x14ac:dyDescent="0.25">
      <c r="B19" s="4"/>
    </row>
    <row r="20" spans="1:29" x14ac:dyDescent="0.25">
      <c r="B20" s="30" t="s">
        <v>66</v>
      </c>
      <c r="C20" s="31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</row>
    <row r="21" spans="1:29" customFormat="1" ht="14.4" x14ac:dyDescent="0.3"/>
    <row r="22" spans="1:29" x14ac:dyDescent="0.25">
      <c r="B22" s="12" t="s">
        <v>49</v>
      </c>
      <c r="C22" s="11"/>
      <c r="D22" s="13">
        <v>0</v>
      </c>
      <c r="E22" s="13">
        <v>1</v>
      </c>
      <c r="F22" s="13">
        <v>2</v>
      </c>
      <c r="G22" s="13">
        <v>3</v>
      </c>
      <c r="H22" s="13">
        <v>4</v>
      </c>
      <c r="I22" s="13">
        <v>5</v>
      </c>
      <c r="J22" s="13">
        <v>6</v>
      </c>
      <c r="K22" s="13">
        <v>7</v>
      </c>
      <c r="L22" s="13">
        <v>8</v>
      </c>
      <c r="M22" s="13">
        <v>9</v>
      </c>
      <c r="N22" s="13">
        <v>10</v>
      </c>
      <c r="O22" s="13">
        <v>11</v>
      </c>
      <c r="P22" s="13">
        <v>12</v>
      </c>
      <c r="Q22" s="13">
        <v>13</v>
      </c>
      <c r="R22" s="13">
        <v>14</v>
      </c>
      <c r="S22" s="13">
        <v>15</v>
      </c>
      <c r="T22" s="13">
        <v>16</v>
      </c>
      <c r="U22" s="13">
        <v>17</v>
      </c>
      <c r="V22" s="13">
        <v>18</v>
      </c>
      <c r="W22" s="13">
        <v>19</v>
      </c>
      <c r="X22" s="13">
        <v>20</v>
      </c>
      <c r="Y22" s="13">
        <v>21</v>
      </c>
      <c r="Z22" s="13">
        <v>22</v>
      </c>
      <c r="AA22" s="13">
        <v>23</v>
      </c>
      <c r="AB22" s="13">
        <v>24</v>
      </c>
      <c r="AC22" s="13">
        <v>25</v>
      </c>
    </row>
    <row r="23" spans="1:29" x14ac:dyDescent="0.25">
      <c r="B23" s="4"/>
    </row>
    <row r="24" spans="1:29" x14ac:dyDescent="0.25">
      <c r="B24" s="9" t="s">
        <v>9</v>
      </c>
      <c r="E24" s="16">
        <f>$C$7*$C$8*$C$15</f>
        <v>700800</v>
      </c>
      <c r="F24" s="16">
        <f t="shared" ref="F24:AC24" si="0">$C$7*$C$8*$C$15</f>
        <v>700800</v>
      </c>
      <c r="G24" s="16">
        <f t="shared" si="0"/>
        <v>700800</v>
      </c>
      <c r="H24" s="16">
        <f t="shared" si="0"/>
        <v>700800</v>
      </c>
      <c r="I24" s="16">
        <f t="shared" si="0"/>
        <v>700800</v>
      </c>
      <c r="J24" s="16">
        <f t="shared" si="0"/>
        <v>700800</v>
      </c>
      <c r="K24" s="16">
        <f t="shared" si="0"/>
        <v>700800</v>
      </c>
      <c r="L24" s="16">
        <f t="shared" si="0"/>
        <v>700800</v>
      </c>
      <c r="M24" s="16">
        <f t="shared" si="0"/>
        <v>700800</v>
      </c>
      <c r="N24" s="16">
        <f t="shared" si="0"/>
        <v>700800</v>
      </c>
      <c r="O24" s="16">
        <f t="shared" si="0"/>
        <v>700800</v>
      </c>
      <c r="P24" s="16">
        <f t="shared" si="0"/>
        <v>700800</v>
      </c>
      <c r="Q24" s="16">
        <f t="shared" si="0"/>
        <v>700800</v>
      </c>
      <c r="R24" s="16">
        <f t="shared" si="0"/>
        <v>700800</v>
      </c>
      <c r="S24" s="16">
        <f t="shared" si="0"/>
        <v>700800</v>
      </c>
      <c r="T24" s="16">
        <f t="shared" si="0"/>
        <v>700800</v>
      </c>
      <c r="U24" s="16">
        <f t="shared" si="0"/>
        <v>700800</v>
      </c>
      <c r="V24" s="16">
        <f t="shared" si="0"/>
        <v>700800</v>
      </c>
      <c r="W24" s="16">
        <f t="shared" si="0"/>
        <v>700800</v>
      </c>
      <c r="X24" s="16">
        <f t="shared" si="0"/>
        <v>700800</v>
      </c>
      <c r="Y24" s="16">
        <f t="shared" si="0"/>
        <v>700800</v>
      </c>
      <c r="Z24" s="16">
        <f t="shared" si="0"/>
        <v>700800</v>
      </c>
      <c r="AA24" s="16">
        <f t="shared" si="0"/>
        <v>700800</v>
      </c>
      <c r="AB24" s="16">
        <f t="shared" si="0"/>
        <v>700800</v>
      </c>
      <c r="AC24" s="16">
        <f t="shared" si="0"/>
        <v>700800</v>
      </c>
    </row>
    <row r="25" spans="1:29" x14ac:dyDescent="0.25">
      <c r="B25" s="9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</row>
    <row r="26" spans="1:29" x14ac:dyDescent="0.25">
      <c r="B26" s="9" t="s">
        <v>12</v>
      </c>
      <c r="E26" s="18">
        <f t="shared" ref="E26:AC26" si="1">(1+$C$11)^(E22-1)</f>
        <v>1</v>
      </c>
      <c r="F26" s="18">
        <f t="shared" si="1"/>
        <v>1.02</v>
      </c>
      <c r="G26" s="18">
        <f t="shared" si="1"/>
        <v>1.0404</v>
      </c>
      <c r="H26" s="18">
        <f t="shared" si="1"/>
        <v>1.0612079999999999</v>
      </c>
      <c r="I26" s="18">
        <f t="shared" si="1"/>
        <v>1.08243216</v>
      </c>
      <c r="J26" s="18">
        <f t="shared" si="1"/>
        <v>1.1040808032</v>
      </c>
      <c r="K26" s="18">
        <f t="shared" si="1"/>
        <v>1.1261624192640001</v>
      </c>
      <c r="L26" s="18">
        <f t="shared" si="1"/>
        <v>1.1486856676492798</v>
      </c>
      <c r="M26" s="18">
        <f t="shared" si="1"/>
        <v>1.1716593810022655</v>
      </c>
      <c r="N26" s="18">
        <f t="shared" si="1"/>
        <v>1.1950925686223108</v>
      </c>
      <c r="O26" s="18">
        <f t="shared" si="1"/>
        <v>1.2189944199947571</v>
      </c>
      <c r="P26" s="18">
        <f t="shared" si="1"/>
        <v>1.243374308394652</v>
      </c>
      <c r="Q26" s="18">
        <f t="shared" si="1"/>
        <v>1.2682417945625453</v>
      </c>
      <c r="R26" s="18">
        <f t="shared" si="1"/>
        <v>1.2936066304537961</v>
      </c>
      <c r="S26" s="18">
        <f t="shared" si="1"/>
        <v>1.3194787630628722</v>
      </c>
      <c r="T26" s="18">
        <f t="shared" si="1"/>
        <v>1.3458683383241292</v>
      </c>
      <c r="U26" s="18">
        <f t="shared" si="1"/>
        <v>1.372785705090612</v>
      </c>
      <c r="V26" s="18">
        <f t="shared" si="1"/>
        <v>1.4002414191924244</v>
      </c>
      <c r="W26" s="18">
        <f t="shared" si="1"/>
        <v>1.4282462475762727</v>
      </c>
      <c r="X26" s="18">
        <f t="shared" si="1"/>
        <v>1.4568111725277981</v>
      </c>
      <c r="Y26" s="18">
        <f t="shared" si="1"/>
        <v>1.4859473959783542</v>
      </c>
      <c r="Z26" s="18">
        <f t="shared" si="1"/>
        <v>1.5156663438979212</v>
      </c>
      <c r="AA26" s="18">
        <f t="shared" si="1"/>
        <v>1.5459796707758797</v>
      </c>
      <c r="AB26" s="18">
        <f t="shared" si="1"/>
        <v>1.576899264191397</v>
      </c>
      <c r="AC26" s="18">
        <f t="shared" si="1"/>
        <v>1.608437249475225</v>
      </c>
    </row>
    <row r="27" spans="1:29" x14ac:dyDescent="0.25">
      <c r="B27" s="9" t="s">
        <v>7</v>
      </c>
      <c r="E27" s="18">
        <f t="shared" ref="E27:AC27" si="2">(1+$C$12)^(E22-1)</f>
        <v>1</v>
      </c>
      <c r="F27" s="18">
        <f t="shared" si="2"/>
        <v>1.0249999999999999</v>
      </c>
      <c r="G27" s="18">
        <f t="shared" si="2"/>
        <v>1.0506249999999999</v>
      </c>
      <c r="H27" s="18">
        <f t="shared" si="2"/>
        <v>1.0768906249999999</v>
      </c>
      <c r="I27" s="18">
        <f t="shared" si="2"/>
        <v>1.1038128906249998</v>
      </c>
      <c r="J27" s="18">
        <f t="shared" si="2"/>
        <v>1.1314082128906247</v>
      </c>
      <c r="K27" s="18">
        <f t="shared" si="2"/>
        <v>1.1596934182128902</v>
      </c>
      <c r="L27" s="18">
        <f t="shared" si="2"/>
        <v>1.1886857536682125</v>
      </c>
      <c r="M27" s="18">
        <f t="shared" si="2"/>
        <v>1.2184028975099177</v>
      </c>
      <c r="N27" s="18">
        <f t="shared" si="2"/>
        <v>1.2488629699476654</v>
      </c>
      <c r="O27" s="18">
        <f t="shared" si="2"/>
        <v>1.2800845441963571</v>
      </c>
      <c r="P27" s="18">
        <f t="shared" si="2"/>
        <v>1.312086657801266</v>
      </c>
      <c r="Q27" s="18">
        <f t="shared" si="2"/>
        <v>1.3448888242462975</v>
      </c>
      <c r="R27" s="18">
        <f t="shared" si="2"/>
        <v>1.3785110448524549</v>
      </c>
      <c r="S27" s="18">
        <f t="shared" si="2"/>
        <v>1.4129738209737661</v>
      </c>
      <c r="T27" s="18">
        <f t="shared" si="2"/>
        <v>1.4482981664981105</v>
      </c>
      <c r="U27" s="18">
        <f t="shared" si="2"/>
        <v>1.4845056206605631</v>
      </c>
      <c r="V27" s="18">
        <f t="shared" si="2"/>
        <v>1.521618261177077</v>
      </c>
      <c r="W27" s="18">
        <f t="shared" si="2"/>
        <v>1.559658717706504</v>
      </c>
      <c r="X27" s="18">
        <f t="shared" si="2"/>
        <v>1.5986501856491666</v>
      </c>
      <c r="Y27" s="18">
        <f t="shared" si="2"/>
        <v>1.6386164402903955</v>
      </c>
      <c r="Z27" s="18">
        <f t="shared" si="2"/>
        <v>1.6795818512976552</v>
      </c>
      <c r="AA27" s="18">
        <f t="shared" si="2"/>
        <v>1.7215713975800966</v>
      </c>
      <c r="AB27" s="18">
        <f t="shared" si="2"/>
        <v>1.7646106825195991</v>
      </c>
      <c r="AC27" s="18">
        <f t="shared" si="2"/>
        <v>1.8087259495825889</v>
      </c>
    </row>
    <row r="28" spans="1:29" x14ac:dyDescent="0.25">
      <c r="B28" s="9"/>
    </row>
    <row r="29" spans="1:29" x14ac:dyDescent="0.25">
      <c r="B29" s="9" t="s">
        <v>10</v>
      </c>
      <c r="E29" s="19">
        <f>$C$10*E26</f>
        <v>50</v>
      </c>
      <c r="F29" s="19">
        <f t="shared" ref="F29:AC29" si="3">$C$10*F26</f>
        <v>51</v>
      </c>
      <c r="G29" s="19">
        <f t="shared" si="3"/>
        <v>52.019999999999996</v>
      </c>
      <c r="H29" s="19">
        <f t="shared" si="3"/>
        <v>53.060399999999994</v>
      </c>
      <c r="I29" s="19">
        <f t="shared" si="3"/>
        <v>54.121608000000002</v>
      </c>
      <c r="J29" s="19">
        <f t="shared" si="3"/>
        <v>55.204040159999998</v>
      </c>
      <c r="K29" s="19">
        <f t="shared" si="3"/>
        <v>56.308120963200004</v>
      </c>
      <c r="L29" s="19">
        <f t="shared" si="3"/>
        <v>57.434283382463988</v>
      </c>
      <c r="M29" s="19">
        <f t="shared" si="3"/>
        <v>58.582969050113277</v>
      </c>
      <c r="N29" s="19">
        <f t="shared" si="3"/>
        <v>59.754628431115542</v>
      </c>
      <c r="O29" s="19">
        <f t="shared" si="3"/>
        <v>60.949720999737856</v>
      </c>
      <c r="P29" s="19">
        <f t="shared" si="3"/>
        <v>62.1687154197326</v>
      </c>
      <c r="Q29" s="19">
        <f t="shared" si="3"/>
        <v>63.412089728127263</v>
      </c>
      <c r="R29" s="19">
        <f t="shared" si="3"/>
        <v>64.680331522689798</v>
      </c>
      <c r="S29" s="19">
        <f t="shared" si="3"/>
        <v>65.973938153143607</v>
      </c>
      <c r="T29" s="19">
        <f t="shared" si="3"/>
        <v>67.293416916206468</v>
      </c>
      <c r="U29" s="19">
        <f t="shared" si="3"/>
        <v>68.639285254530606</v>
      </c>
      <c r="V29" s="19">
        <f t="shared" si="3"/>
        <v>70.012070959621227</v>
      </c>
      <c r="W29" s="19">
        <f t="shared" si="3"/>
        <v>71.412312378813638</v>
      </c>
      <c r="X29" s="19">
        <f t="shared" si="3"/>
        <v>72.840558626389907</v>
      </c>
      <c r="Y29" s="19">
        <f t="shared" si="3"/>
        <v>74.297369798917714</v>
      </c>
      <c r="Z29" s="19">
        <f t="shared" si="3"/>
        <v>75.783317194896057</v>
      </c>
      <c r="AA29" s="19">
        <f t="shared" si="3"/>
        <v>77.298983538793991</v>
      </c>
      <c r="AB29" s="19">
        <f t="shared" si="3"/>
        <v>78.844963209569855</v>
      </c>
      <c r="AC29" s="19">
        <f t="shared" si="3"/>
        <v>80.421862473761252</v>
      </c>
    </row>
    <row r="30" spans="1:29" x14ac:dyDescent="0.25">
      <c r="B30" s="9"/>
    </row>
    <row r="31" spans="1:29" x14ac:dyDescent="0.25">
      <c r="B31" s="9" t="s">
        <v>58</v>
      </c>
      <c r="E31" s="16">
        <f>E29*E24/$C$16</f>
        <v>35040</v>
      </c>
      <c r="F31" s="16">
        <f t="shared" ref="F31:AC31" si="4">F29*F24/$C$16</f>
        <v>35740.800000000003</v>
      </c>
      <c r="G31" s="16">
        <f t="shared" si="4"/>
        <v>36455.616000000002</v>
      </c>
      <c r="H31" s="16">
        <f t="shared" si="4"/>
        <v>37184.728319999995</v>
      </c>
      <c r="I31" s="16">
        <f t="shared" si="4"/>
        <v>37928.422886399996</v>
      </c>
      <c r="J31" s="16">
        <f t="shared" si="4"/>
        <v>38686.991344128</v>
      </c>
      <c r="K31" s="16">
        <f t="shared" si="4"/>
        <v>39460.731171010564</v>
      </c>
      <c r="L31" s="16">
        <f t="shared" si="4"/>
        <v>40249.945794430765</v>
      </c>
      <c r="M31" s="16">
        <f t="shared" si="4"/>
        <v>41054.944710319382</v>
      </c>
      <c r="N31" s="16">
        <f t="shared" si="4"/>
        <v>41876.043604525774</v>
      </c>
      <c r="O31" s="16">
        <f t="shared" si="4"/>
        <v>42713.564476616295</v>
      </c>
      <c r="P31" s="16">
        <f t="shared" si="4"/>
        <v>43567.835766148608</v>
      </c>
      <c r="Q31" s="16">
        <f t="shared" si="4"/>
        <v>44439.192481471582</v>
      </c>
      <c r="R31" s="16">
        <f t="shared" si="4"/>
        <v>45327.97633110101</v>
      </c>
      <c r="S31" s="16">
        <f t="shared" si="4"/>
        <v>46234.535857723044</v>
      </c>
      <c r="T31" s="16">
        <f t="shared" si="4"/>
        <v>47159.226574877495</v>
      </c>
      <c r="U31" s="16">
        <f t="shared" si="4"/>
        <v>48102.411106375046</v>
      </c>
      <c r="V31" s="16">
        <f t="shared" si="4"/>
        <v>49064.459328502555</v>
      </c>
      <c r="W31" s="16">
        <f t="shared" si="4"/>
        <v>50045.748515072599</v>
      </c>
      <c r="X31" s="16">
        <f t="shared" si="4"/>
        <v>51046.663485374047</v>
      </c>
      <c r="Y31" s="16">
        <f t="shared" si="4"/>
        <v>52067.596755081533</v>
      </c>
      <c r="Z31" s="16">
        <f t="shared" si="4"/>
        <v>53108.948690183155</v>
      </c>
      <c r="AA31" s="16">
        <f t="shared" si="4"/>
        <v>54171.12766398683</v>
      </c>
      <c r="AB31" s="16">
        <f t="shared" si="4"/>
        <v>55254.550217266551</v>
      </c>
      <c r="AC31" s="16">
        <f t="shared" si="4"/>
        <v>56359.641221611884</v>
      </c>
    </row>
    <row r="32" spans="1:29" x14ac:dyDescent="0.25">
      <c r="B32" s="21" t="s">
        <v>59</v>
      </c>
      <c r="E32" s="17">
        <f>-$C$9*$C$7*E27</f>
        <v>-8000</v>
      </c>
      <c r="F32" s="17">
        <f t="shared" ref="F32:AC32" si="5">-$C$9*$C$7*F27</f>
        <v>-8200</v>
      </c>
      <c r="G32" s="17">
        <f t="shared" si="5"/>
        <v>-8405</v>
      </c>
      <c r="H32" s="17">
        <f t="shared" si="5"/>
        <v>-8615.1249999999982</v>
      </c>
      <c r="I32" s="17">
        <f t="shared" si="5"/>
        <v>-8830.5031249999975</v>
      </c>
      <c r="J32" s="17">
        <f t="shared" si="5"/>
        <v>-9051.2657031249964</v>
      </c>
      <c r="K32" s="17">
        <f t="shared" si="5"/>
        <v>-9277.5473457031221</v>
      </c>
      <c r="L32" s="17">
        <f t="shared" si="5"/>
        <v>-9509.4860293457004</v>
      </c>
      <c r="M32" s="17">
        <f t="shared" si="5"/>
        <v>-9747.2231800793415</v>
      </c>
      <c r="N32" s="17">
        <f t="shared" si="5"/>
        <v>-9990.9037595813243</v>
      </c>
      <c r="O32" s="17">
        <f t="shared" si="5"/>
        <v>-10240.676353570856</v>
      </c>
      <c r="P32" s="17">
        <f t="shared" si="5"/>
        <v>-10496.693262410128</v>
      </c>
      <c r="Q32" s="17">
        <f t="shared" si="5"/>
        <v>-10759.110593970379</v>
      </c>
      <c r="R32" s="17">
        <f t="shared" si="5"/>
        <v>-11028.088358819639</v>
      </c>
      <c r="S32" s="17">
        <f t="shared" si="5"/>
        <v>-11303.790567790129</v>
      </c>
      <c r="T32" s="17">
        <f t="shared" si="5"/>
        <v>-11586.385331984884</v>
      </c>
      <c r="U32" s="17">
        <f t="shared" si="5"/>
        <v>-11876.044965284505</v>
      </c>
      <c r="V32" s="17">
        <f t="shared" si="5"/>
        <v>-12172.946089416617</v>
      </c>
      <c r="W32" s="17">
        <f t="shared" si="5"/>
        <v>-12477.269741652031</v>
      </c>
      <c r="X32" s="17">
        <f t="shared" si="5"/>
        <v>-12789.201485193333</v>
      </c>
      <c r="Y32" s="17">
        <f t="shared" si="5"/>
        <v>-13108.931522323164</v>
      </c>
      <c r="Z32" s="17">
        <f t="shared" si="5"/>
        <v>-13436.654810381242</v>
      </c>
      <c r="AA32" s="17">
        <f t="shared" si="5"/>
        <v>-13772.571180640773</v>
      </c>
      <c r="AB32" s="17">
        <f t="shared" si="5"/>
        <v>-14116.885460156793</v>
      </c>
      <c r="AC32" s="17">
        <f t="shared" si="5"/>
        <v>-14469.807596660712</v>
      </c>
    </row>
    <row r="33" spans="2:29" x14ac:dyDescent="0.25">
      <c r="B33" s="22" t="s">
        <v>11</v>
      </c>
      <c r="C33" s="8"/>
      <c r="D33" s="10"/>
      <c r="E33" s="23">
        <f t="shared" ref="E33:AC33" si="6">E31+E32</f>
        <v>27040</v>
      </c>
      <c r="F33" s="23">
        <f t="shared" si="6"/>
        <v>27540.800000000003</v>
      </c>
      <c r="G33" s="23">
        <f t="shared" si="6"/>
        <v>28050.616000000002</v>
      </c>
      <c r="H33" s="23">
        <f t="shared" si="6"/>
        <v>28569.603319999995</v>
      </c>
      <c r="I33" s="23">
        <f t="shared" si="6"/>
        <v>29097.9197614</v>
      </c>
      <c r="J33" s="23">
        <f t="shared" si="6"/>
        <v>29635.725641003002</v>
      </c>
      <c r="K33" s="23">
        <f t="shared" si="6"/>
        <v>30183.183825307442</v>
      </c>
      <c r="L33" s="23">
        <f t="shared" si="6"/>
        <v>30740.459765085063</v>
      </c>
      <c r="M33" s="23">
        <f t="shared" si="6"/>
        <v>31307.72153024004</v>
      </c>
      <c r="N33" s="23">
        <f t="shared" si="6"/>
        <v>31885.13984494445</v>
      </c>
      <c r="O33" s="23">
        <f t="shared" si="6"/>
        <v>32472.888123045439</v>
      </c>
      <c r="P33" s="23">
        <f t="shared" si="6"/>
        <v>33071.142503738476</v>
      </c>
      <c r="Q33" s="23">
        <f t="shared" si="6"/>
        <v>33680.081887501205</v>
      </c>
      <c r="R33" s="23">
        <f t="shared" si="6"/>
        <v>34299.887972281373</v>
      </c>
      <c r="S33" s="23">
        <f t="shared" si="6"/>
        <v>34930.745289932915</v>
      </c>
      <c r="T33" s="23">
        <f t="shared" si="6"/>
        <v>35572.841242892609</v>
      </c>
      <c r="U33" s="23">
        <f t="shared" si="6"/>
        <v>36226.366141090541</v>
      </c>
      <c r="V33" s="23">
        <f t="shared" si="6"/>
        <v>36891.513239085936</v>
      </c>
      <c r="W33" s="23">
        <f t="shared" si="6"/>
        <v>37568.478773420567</v>
      </c>
      <c r="X33" s="23">
        <f t="shared" si="6"/>
        <v>38257.462000180712</v>
      </c>
      <c r="Y33" s="23">
        <f t="shared" si="6"/>
        <v>38958.665232758372</v>
      </c>
      <c r="Z33" s="23">
        <f t="shared" si="6"/>
        <v>39672.293879801917</v>
      </c>
      <c r="AA33" s="23">
        <f t="shared" si="6"/>
        <v>40398.556483346059</v>
      </c>
      <c r="AB33" s="23">
        <f t="shared" si="6"/>
        <v>41137.664757109756</v>
      </c>
      <c r="AC33" s="23">
        <f t="shared" si="6"/>
        <v>41889.83362495117</v>
      </c>
    </row>
    <row r="34" spans="2:29" x14ac:dyDescent="0.25">
      <c r="B34" s="9"/>
    </row>
    <row r="35" spans="2:29" x14ac:dyDescent="0.25">
      <c r="B35" s="9" t="s">
        <v>60</v>
      </c>
      <c r="E35" s="17">
        <f>E33</f>
        <v>27040</v>
      </c>
      <c r="F35" s="17">
        <f t="shared" ref="F35:AC35" si="7">F33</f>
        <v>27540.800000000003</v>
      </c>
      <c r="G35" s="17">
        <f t="shared" si="7"/>
        <v>28050.616000000002</v>
      </c>
      <c r="H35" s="17">
        <f t="shared" si="7"/>
        <v>28569.603319999995</v>
      </c>
      <c r="I35" s="17">
        <f t="shared" si="7"/>
        <v>29097.9197614</v>
      </c>
      <c r="J35" s="17">
        <f t="shared" si="7"/>
        <v>29635.725641003002</v>
      </c>
      <c r="K35" s="17">
        <f t="shared" si="7"/>
        <v>30183.183825307442</v>
      </c>
      <c r="L35" s="17">
        <f t="shared" si="7"/>
        <v>30740.459765085063</v>
      </c>
      <c r="M35" s="17">
        <f t="shared" si="7"/>
        <v>31307.72153024004</v>
      </c>
      <c r="N35" s="17">
        <f t="shared" si="7"/>
        <v>31885.13984494445</v>
      </c>
      <c r="O35" s="17">
        <f t="shared" si="7"/>
        <v>32472.888123045439</v>
      </c>
      <c r="P35" s="17">
        <f t="shared" si="7"/>
        <v>33071.142503738476</v>
      </c>
      <c r="Q35" s="17">
        <f t="shared" si="7"/>
        <v>33680.081887501205</v>
      </c>
      <c r="R35" s="17">
        <f t="shared" si="7"/>
        <v>34299.887972281373</v>
      </c>
      <c r="S35" s="17">
        <f t="shared" si="7"/>
        <v>34930.745289932915</v>
      </c>
      <c r="T35" s="17">
        <f t="shared" si="7"/>
        <v>35572.841242892609</v>
      </c>
      <c r="U35" s="17">
        <f t="shared" si="7"/>
        <v>36226.366141090541</v>
      </c>
      <c r="V35" s="17">
        <f t="shared" si="7"/>
        <v>36891.513239085936</v>
      </c>
      <c r="W35" s="17">
        <f t="shared" si="7"/>
        <v>37568.478773420567</v>
      </c>
      <c r="X35" s="17">
        <f t="shared" si="7"/>
        <v>38257.462000180712</v>
      </c>
      <c r="Y35" s="17">
        <f t="shared" si="7"/>
        <v>38958.665232758372</v>
      </c>
      <c r="Z35" s="17">
        <f t="shared" si="7"/>
        <v>39672.293879801917</v>
      </c>
      <c r="AA35" s="17">
        <f t="shared" si="7"/>
        <v>40398.556483346059</v>
      </c>
      <c r="AB35" s="17">
        <f t="shared" si="7"/>
        <v>41137.664757109756</v>
      </c>
      <c r="AC35" s="17">
        <f t="shared" si="7"/>
        <v>41889.83362495117</v>
      </c>
    </row>
    <row r="36" spans="2:29" x14ac:dyDescent="0.25">
      <c r="B36" s="9"/>
    </row>
    <row r="37" spans="2:29" x14ac:dyDescent="0.25">
      <c r="B37" s="9" t="s">
        <v>14</v>
      </c>
      <c r="E37" s="17">
        <f>E35/$C$13</f>
        <v>20800</v>
      </c>
      <c r="F37" s="17">
        <f t="shared" ref="F37:AC37" si="8">F35/$C$13</f>
        <v>21185.23076923077</v>
      </c>
      <c r="G37" s="17">
        <f t="shared" si="8"/>
        <v>21577.396923076925</v>
      </c>
      <c r="H37" s="17">
        <f t="shared" si="8"/>
        <v>21976.617938461535</v>
      </c>
      <c r="I37" s="17">
        <f t="shared" si="8"/>
        <v>22383.015201076923</v>
      </c>
      <c r="J37" s="17">
        <f t="shared" si="8"/>
        <v>22796.71203154077</v>
      </c>
      <c r="K37" s="17">
        <f t="shared" si="8"/>
        <v>23217.833711774954</v>
      </c>
      <c r="L37" s="17">
        <f t="shared" si="8"/>
        <v>23646.507511603893</v>
      </c>
      <c r="M37" s="17">
        <f t="shared" si="8"/>
        <v>24082.862715569259</v>
      </c>
      <c r="N37" s="17">
        <f t="shared" si="8"/>
        <v>24527.030649957269</v>
      </c>
      <c r="O37" s="17">
        <f t="shared" si="8"/>
        <v>24979.144710034951</v>
      </c>
      <c r="P37" s="17">
        <f t="shared" si="8"/>
        <v>25439.340387491135</v>
      </c>
      <c r="Q37" s="17">
        <f t="shared" si="8"/>
        <v>25907.755298077849</v>
      </c>
      <c r="R37" s="17">
        <f t="shared" si="8"/>
        <v>26384.52920944721</v>
      </c>
      <c r="S37" s="17">
        <f t="shared" si="8"/>
        <v>26869.804069179165</v>
      </c>
      <c r="T37" s="17">
        <f t="shared" si="8"/>
        <v>27363.724032994312</v>
      </c>
      <c r="U37" s="17">
        <f t="shared" si="8"/>
        <v>27866.435493146568</v>
      </c>
      <c r="V37" s="17">
        <f t="shared" si="8"/>
        <v>28378.08710698918</v>
      </c>
      <c r="W37" s="17">
        <f t="shared" si="8"/>
        <v>28898.829825708126</v>
      </c>
      <c r="X37" s="17">
        <f t="shared" si="8"/>
        <v>29428.816923215931</v>
      </c>
      <c r="Y37" s="17">
        <f t="shared" si="8"/>
        <v>29968.204025198746</v>
      </c>
      <c r="Z37" s="17">
        <f t="shared" si="8"/>
        <v>30517.149138309167</v>
      </c>
      <c r="AA37" s="17">
        <f t="shared" si="8"/>
        <v>31075.812679496968</v>
      </c>
      <c r="AB37" s="17">
        <f t="shared" si="8"/>
        <v>31644.357505469041</v>
      </c>
      <c r="AC37" s="17">
        <f t="shared" si="8"/>
        <v>32222.94894227013</v>
      </c>
    </row>
    <row r="38" spans="2:29" x14ac:dyDescent="0.25">
      <c r="B38" s="9"/>
    </row>
    <row r="39" spans="2:29" x14ac:dyDescent="0.25">
      <c r="B39" s="30" t="s">
        <v>63</v>
      </c>
      <c r="C39" s="31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</row>
    <row r="40" spans="2:29" customFormat="1" ht="14.4" x14ac:dyDescent="0.3"/>
    <row r="41" spans="2:29" x14ac:dyDescent="0.25">
      <c r="B41" s="9" t="s">
        <v>16</v>
      </c>
      <c r="E41" s="17">
        <f>D44</f>
        <v>371723.40514329768</v>
      </c>
      <c r="F41" s="17">
        <f t="shared" ref="F41:AC41" si="9">E44</f>
        <v>367650.95837474609</v>
      </c>
      <c r="G41" s="17">
        <f t="shared" si="9"/>
        <v>363010.02073237888</v>
      </c>
      <c r="H41" s="17">
        <f t="shared" si="9"/>
        <v>357768.07474225899</v>
      </c>
      <c r="I41" s="17">
        <f t="shared" si="9"/>
        <v>351891.02016719914</v>
      </c>
      <c r="J41" s="17">
        <f t="shared" si="9"/>
        <v>345343.10087364615</v>
      </c>
      <c r="K41" s="17">
        <f t="shared" si="9"/>
        <v>338086.82838141947</v>
      </c>
      <c r="L41" s="17">
        <f t="shared" si="9"/>
        <v>330082.90194680839</v>
      </c>
      <c r="M41" s="17">
        <f t="shared" si="9"/>
        <v>321290.12502281088</v>
      </c>
      <c r="N41" s="17">
        <f t="shared" si="9"/>
        <v>311665.31793326809</v>
      </c>
      <c r="O41" s="17">
        <f t="shared" si="9"/>
        <v>301163.2265903079</v>
      </c>
      <c r="P41" s="17">
        <f t="shared" si="9"/>
        <v>289736.42707683682</v>
      </c>
      <c r="Q41" s="17">
        <f t="shared" si="9"/>
        <v>277335.22590780334</v>
      </c>
      <c r="R41" s="17">
        <f t="shared" si="9"/>
        <v>263907.55577557662</v>
      </c>
      <c r="S41" s="17">
        <f t="shared" si="9"/>
        <v>249398.86657603036</v>
      </c>
      <c r="T41" s="17">
        <f t="shared" si="9"/>
        <v>233752.01150277257</v>
      </c>
      <c r="U41" s="17">
        <f t="shared" si="9"/>
        <v>216907.12798740302</v>
      </c>
      <c r="V41" s="17">
        <f t="shared" si="9"/>
        <v>198801.51325368957</v>
      </c>
      <c r="W41" s="17">
        <f t="shared" si="9"/>
        <v>179369.49424311641</v>
      </c>
      <c r="X41" s="17">
        <f t="shared" si="9"/>
        <v>158542.29165834852</v>
      </c>
      <c r="Y41" s="17">
        <f t="shared" si="9"/>
        <v>136247.87785975827</v>
      </c>
      <c r="Z41" s="17">
        <f t="shared" si="9"/>
        <v>112410.82833824866</v>
      </c>
      <c r="AA41" s="17">
        <f t="shared" si="9"/>
        <v>86952.166475160673</v>
      </c>
      <c r="AB41" s="17">
        <f t="shared" si="9"/>
        <v>59789.201287045937</v>
      </c>
      <c r="AC41" s="17">
        <f t="shared" si="9"/>
        <v>30835.357839493961</v>
      </c>
    </row>
    <row r="42" spans="2:29" x14ac:dyDescent="0.25">
      <c r="B42" s="21" t="s">
        <v>61</v>
      </c>
      <c r="E42" s="17">
        <f>-D44*$C$14</f>
        <v>-16727.553231448393</v>
      </c>
      <c r="F42" s="17">
        <f t="shared" ref="F42:AC42" si="10">-E44*$C$14</f>
        <v>-16544.293126863573</v>
      </c>
      <c r="G42" s="17">
        <f t="shared" si="10"/>
        <v>-16335.450932957048</v>
      </c>
      <c r="H42" s="17">
        <f t="shared" si="10"/>
        <v>-16099.563363401654</v>
      </c>
      <c r="I42" s="17">
        <f t="shared" si="10"/>
        <v>-15835.095907523961</v>
      </c>
      <c r="J42" s="17">
        <f t="shared" si="10"/>
        <v>-15540.439539314077</v>
      </c>
      <c r="K42" s="17">
        <f t="shared" si="10"/>
        <v>-15213.907277163875</v>
      </c>
      <c r="L42" s="17">
        <f t="shared" si="10"/>
        <v>-14853.730587606377</v>
      </c>
      <c r="M42" s="17">
        <f t="shared" si="10"/>
        <v>-14458.055626026489</v>
      </c>
      <c r="N42" s="17">
        <f t="shared" si="10"/>
        <v>-14024.939306997063</v>
      </c>
      <c r="O42" s="17">
        <f t="shared" si="10"/>
        <v>-13552.345196563854</v>
      </c>
      <c r="P42" s="17">
        <f t="shared" si="10"/>
        <v>-13038.139218457656</v>
      </c>
      <c r="Q42" s="17">
        <f t="shared" si="10"/>
        <v>-12480.085165851149</v>
      </c>
      <c r="R42" s="17">
        <f t="shared" si="10"/>
        <v>-11875.840009900947</v>
      </c>
      <c r="S42" s="17">
        <f t="shared" si="10"/>
        <v>-11222.948995921366</v>
      </c>
      <c r="T42" s="17">
        <f t="shared" si="10"/>
        <v>-10518.840517624765</v>
      </c>
      <c r="U42" s="17">
        <f t="shared" si="10"/>
        <v>-9760.8207594331361</v>
      </c>
      <c r="V42" s="17">
        <f t="shared" si="10"/>
        <v>-8946.068096416031</v>
      </c>
      <c r="W42" s="17">
        <f t="shared" si="10"/>
        <v>-8071.6272409402382</v>
      </c>
      <c r="X42" s="17">
        <f t="shared" si="10"/>
        <v>-7134.4031246256827</v>
      </c>
      <c r="Y42" s="17">
        <f t="shared" si="10"/>
        <v>-6131.1545036891221</v>
      </c>
      <c r="Z42" s="17">
        <f t="shared" si="10"/>
        <v>-5058.4872752211895</v>
      </c>
      <c r="AA42" s="17">
        <f t="shared" si="10"/>
        <v>-3912.8474913822301</v>
      </c>
      <c r="AB42" s="17">
        <f t="shared" si="10"/>
        <v>-2690.514057917067</v>
      </c>
      <c r="AC42" s="17">
        <f t="shared" si="10"/>
        <v>-1387.5911027772281</v>
      </c>
    </row>
    <row r="43" spans="2:29" x14ac:dyDescent="0.25">
      <c r="B43" s="21" t="s">
        <v>62</v>
      </c>
      <c r="E43" s="17">
        <f>-E37-E42</f>
        <v>-4072.4467685516065</v>
      </c>
      <c r="F43" s="17">
        <f t="shared" ref="F43:AC43" si="11">-F37-F42</f>
        <v>-4640.9376423671965</v>
      </c>
      <c r="G43" s="17">
        <f t="shared" si="11"/>
        <v>-5241.945990119877</v>
      </c>
      <c r="H43" s="17">
        <f t="shared" si="11"/>
        <v>-5877.0545750598812</v>
      </c>
      <c r="I43" s="17">
        <f t="shared" si="11"/>
        <v>-6547.9192935529627</v>
      </c>
      <c r="J43" s="17">
        <f t="shared" si="11"/>
        <v>-7256.2724922266934</v>
      </c>
      <c r="K43" s="17">
        <f t="shared" si="11"/>
        <v>-8003.9264346110795</v>
      </c>
      <c r="L43" s="17">
        <f t="shared" si="11"/>
        <v>-8792.7769239975169</v>
      </c>
      <c r="M43" s="17">
        <f t="shared" si="11"/>
        <v>-9624.80708954277</v>
      </c>
      <c r="N43" s="17">
        <f t="shared" si="11"/>
        <v>-10502.091342960206</v>
      </c>
      <c r="O43" s="17">
        <f t="shared" si="11"/>
        <v>-11426.799513471096</v>
      </c>
      <c r="P43" s="17">
        <f t="shared" si="11"/>
        <v>-12401.201169033478</v>
      </c>
      <c r="Q43" s="17">
        <f t="shared" si="11"/>
        <v>-13427.6701322267</v>
      </c>
      <c r="R43" s="17">
        <f t="shared" si="11"/>
        <v>-14508.689199546263</v>
      </c>
      <c r="S43" s="17">
        <f t="shared" si="11"/>
        <v>-15646.855073257799</v>
      </c>
      <c r="T43" s="17">
        <f t="shared" si="11"/>
        <v>-16844.883515369547</v>
      </c>
      <c r="U43" s="17">
        <f t="shared" si="11"/>
        <v>-18105.614733713432</v>
      </c>
      <c r="V43" s="17">
        <f t="shared" si="11"/>
        <v>-19432.019010573149</v>
      </c>
      <c r="W43" s="17">
        <f t="shared" si="11"/>
        <v>-20827.202584767889</v>
      </c>
      <c r="X43" s="17">
        <f t="shared" si="11"/>
        <v>-22294.413798590249</v>
      </c>
      <c r="Y43" s="17">
        <f t="shared" si="11"/>
        <v>-23837.049521509623</v>
      </c>
      <c r="Z43" s="17">
        <f t="shared" si="11"/>
        <v>-25458.661863087978</v>
      </c>
      <c r="AA43" s="17">
        <f t="shared" si="11"/>
        <v>-27162.965188114737</v>
      </c>
      <c r="AB43" s="17">
        <f t="shared" si="11"/>
        <v>-28953.843447551975</v>
      </c>
      <c r="AC43" s="17">
        <f t="shared" si="11"/>
        <v>-30835.357839492903</v>
      </c>
    </row>
    <row r="44" spans="2:29" x14ac:dyDescent="0.25">
      <c r="B44" s="9" t="s">
        <v>18</v>
      </c>
      <c r="D44" s="20">
        <f>NPV($C$14,E37:AC37)</f>
        <v>371723.40514329768</v>
      </c>
      <c r="E44" s="17">
        <f>E41+E43</f>
        <v>367650.95837474609</v>
      </c>
      <c r="F44" s="17">
        <f t="shared" ref="F44:AC44" si="12">F41+F43</f>
        <v>363010.02073237888</v>
      </c>
      <c r="G44" s="17">
        <f t="shared" si="12"/>
        <v>357768.07474225899</v>
      </c>
      <c r="H44" s="17">
        <f t="shared" si="12"/>
        <v>351891.02016719914</v>
      </c>
      <c r="I44" s="17">
        <f t="shared" si="12"/>
        <v>345343.10087364615</v>
      </c>
      <c r="J44" s="17">
        <f t="shared" si="12"/>
        <v>338086.82838141947</v>
      </c>
      <c r="K44" s="17">
        <f t="shared" si="12"/>
        <v>330082.90194680839</v>
      </c>
      <c r="L44" s="17">
        <f t="shared" si="12"/>
        <v>321290.12502281088</v>
      </c>
      <c r="M44" s="17">
        <f t="shared" si="12"/>
        <v>311665.31793326809</v>
      </c>
      <c r="N44" s="17">
        <f t="shared" si="12"/>
        <v>301163.2265903079</v>
      </c>
      <c r="O44" s="17">
        <f t="shared" si="12"/>
        <v>289736.42707683682</v>
      </c>
      <c r="P44" s="17">
        <f t="shared" si="12"/>
        <v>277335.22590780334</v>
      </c>
      <c r="Q44" s="17">
        <f t="shared" si="12"/>
        <v>263907.55577557662</v>
      </c>
      <c r="R44" s="17">
        <f t="shared" si="12"/>
        <v>249398.86657603036</v>
      </c>
      <c r="S44" s="17">
        <f t="shared" si="12"/>
        <v>233752.01150277257</v>
      </c>
      <c r="T44" s="17">
        <f t="shared" si="12"/>
        <v>216907.12798740302</v>
      </c>
      <c r="U44" s="17">
        <f t="shared" si="12"/>
        <v>198801.51325368957</v>
      </c>
      <c r="V44" s="17">
        <f t="shared" si="12"/>
        <v>179369.49424311641</v>
      </c>
      <c r="W44" s="17">
        <f t="shared" si="12"/>
        <v>158542.29165834852</v>
      </c>
      <c r="X44" s="17">
        <f t="shared" si="12"/>
        <v>136247.87785975827</v>
      </c>
      <c r="Y44" s="17">
        <f t="shared" si="12"/>
        <v>112410.82833824866</v>
      </c>
      <c r="Z44" s="17">
        <f t="shared" si="12"/>
        <v>86952.166475160673</v>
      </c>
      <c r="AA44" s="17">
        <f t="shared" si="12"/>
        <v>59789.201287045937</v>
      </c>
      <c r="AB44" s="17">
        <f t="shared" si="12"/>
        <v>30835.357839493961</v>
      </c>
      <c r="AC44" s="17">
        <f t="shared" si="12"/>
        <v>1.0586518328636885E-9</v>
      </c>
    </row>
  </sheetData>
  <pageMargins left="0.45" right="0.45" top="0.75" bottom="0.75" header="0.3" footer="0.3"/>
  <pageSetup scale="70" fitToWidth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44"/>
  <sheetViews>
    <sheetView showGridLines="0" topLeftCell="A8" zoomScale="85" zoomScaleNormal="85" workbookViewId="0">
      <selection activeCell="E46" sqref="E46"/>
    </sheetView>
  </sheetViews>
  <sheetFormatPr defaultColWidth="9.109375" defaultRowHeight="13.8" x14ac:dyDescent="0.25"/>
  <cols>
    <col min="1" max="1" width="2.6640625" style="3" customWidth="1"/>
    <col min="2" max="2" width="30.6640625" style="25" customWidth="1"/>
    <col min="3" max="3" width="9.44140625" style="2" bestFit="1" customWidth="1"/>
    <col min="4" max="29" width="10.33203125" style="3" customWidth="1"/>
    <col min="30" max="16384" width="9.109375" style="3"/>
  </cols>
  <sheetData>
    <row r="1" spans="1:29" ht="16.8" x14ac:dyDescent="0.3">
      <c r="A1" s="33" t="s">
        <v>64</v>
      </c>
    </row>
    <row r="2" spans="1:29" x14ac:dyDescent="0.25">
      <c r="A2" s="3" t="s">
        <v>67</v>
      </c>
    </row>
    <row r="4" spans="1:29" x14ac:dyDescent="0.25">
      <c r="A4" s="27"/>
      <c r="B4" s="27" t="s">
        <v>52</v>
      </c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</row>
    <row r="5" spans="1:29" customFormat="1" ht="14.4" x14ac:dyDescent="0.3"/>
    <row r="6" spans="1:29" customFormat="1" ht="14.4" x14ac:dyDescent="0.3">
      <c r="B6" s="12"/>
      <c r="C6" s="14"/>
      <c r="D6" s="15" t="s">
        <v>57</v>
      </c>
    </row>
    <row r="7" spans="1:29" ht="14.4" x14ac:dyDescent="0.3">
      <c r="B7" s="9" t="s">
        <v>0</v>
      </c>
      <c r="C7" s="16">
        <v>200</v>
      </c>
      <c r="D7" s="3" t="s">
        <v>2</v>
      </c>
      <c r="F7"/>
      <c r="G7"/>
      <c r="H7"/>
      <c r="I7"/>
      <c r="J7"/>
      <c r="K7"/>
      <c r="L7"/>
    </row>
    <row r="8" spans="1:29" ht="14.4" x14ac:dyDescent="0.3">
      <c r="B8" s="9" t="s">
        <v>48</v>
      </c>
      <c r="C8" s="56">
        <v>0.3</v>
      </c>
      <c r="D8" s="3" t="s">
        <v>50</v>
      </c>
      <c r="F8"/>
      <c r="G8"/>
      <c r="H8"/>
      <c r="I8"/>
      <c r="J8"/>
      <c r="K8"/>
      <c r="L8"/>
    </row>
    <row r="9" spans="1:29" ht="14.4" x14ac:dyDescent="0.3">
      <c r="B9" s="9" t="s">
        <v>1</v>
      </c>
      <c r="C9" s="35">
        <v>40</v>
      </c>
      <c r="D9" s="3" t="s">
        <v>3</v>
      </c>
      <c r="F9"/>
      <c r="G9"/>
      <c r="H9"/>
      <c r="I9"/>
      <c r="J9"/>
      <c r="K9"/>
      <c r="L9"/>
    </row>
    <row r="10" spans="1:29" x14ac:dyDescent="0.25">
      <c r="B10" s="9" t="s">
        <v>5</v>
      </c>
      <c r="C10" s="35">
        <v>50</v>
      </c>
      <c r="D10" s="3" t="s">
        <v>4</v>
      </c>
    </row>
    <row r="11" spans="1:29" x14ac:dyDescent="0.25">
      <c r="B11" s="9" t="s">
        <v>6</v>
      </c>
      <c r="C11" s="56">
        <v>0.02</v>
      </c>
      <c r="D11" s="3" t="s">
        <v>50</v>
      </c>
    </row>
    <row r="12" spans="1:29" x14ac:dyDescent="0.25">
      <c r="B12" s="9" t="s">
        <v>7</v>
      </c>
      <c r="C12" s="56">
        <v>2.5000000000000001E-2</v>
      </c>
      <c r="D12" s="3" t="s">
        <v>50</v>
      </c>
    </row>
    <row r="13" spans="1:29" x14ac:dyDescent="0.25">
      <c r="B13" s="9" t="s">
        <v>15</v>
      </c>
      <c r="C13" s="37">
        <v>1</v>
      </c>
      <c r="D13" s="3" t="s">
        <v>51</v>
      </c>
    </row>
    <row r="14" spans="1:29" x14ac:dyDescent="0.25">
      <c r="B14" s="9" t="s">
        <v>19</v>
      </c>
      <c r="C14" s="56">
        <v>4.4999999999999998E-2</v>
      </c>
      <c r="D14" s="3" t="s">
        <v>50</v>
      </c>
    </row>
    <row r="15" spans="1:29" x14ac:dyDescent="0.25">
      <c r="B15" s="9" t="s">
        <v>53</v>
      </c>
      <c r="C15" s="16">
        <v>8760</v>
      </c>
      <c r="D15" s="3" t="s">
        <v>55</v>
      </c>
    </row>
    <row r="16" spans="1:29" x14ac:dyDescent="0.25">
      <c r="B16" s="9" t="s">
        <v>54</v>
      </c>
      <c r="C16" s="16">
        <v>1000</v>
      </c>
      <c r="D16" s="3" t="s">
        <v>56</v>
      </c>
    </row>
    <row r="17" spans="1:29" x14ac:dyDescent="0.25">
      <c r="B17" s="9"/>
    </row>
    <row r="18" spans="1:29" x14ac:dyDescent="0.25">
      <c r="A18" s="27"/>
      <c r="B18" s="27" t="s">
        <v>64</v>
      </c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</row>
    <row r="19" spans="1:29" x14ac:dyDescent="0.25">
      <c r="B19" s="9"/>
    </row>
    <row r="20" spans="1:29" x14ac:dyDescent="0.25">
      <c r="B20" s="30" t="s">
        <v>66</v>
      </c>
      <c r="C20" s="31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</row>
    <row r="21" spans="1:29" ht="14.4" x14ac:dyDescent="0.3"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</row>
    <row r="22" spans="1:29" x14ac:dyDescent="0.25">
      <c r="B22" s="12" t="s">
        <v>49</v>
      </c>
      <c r="C22" s="11"/>
      <c r="D22" s="13">
        <v>0</v>
      </c>
      <c r="E22" s="13">
        <v>1</v>
      </c>
      <c r="F22" s="13">
        <v>2</v>
      </c>
      <c r="G22" s="13">
        <v>3</v>
      </c>
      <c r="H22" s="13">
        <v>4</v>
      </c>
      <c r="I22" s="13">
        <v>5</v>
      </c>
      <c r="J22" s="13">
        <v>6</v>
      </c>
      <c r="K22" s="13">
        <v>7</v>
      </c>
      <c r="L22" s="13">
        <v>8</v>
      </c>
      <c r="M22" s="13">
        <v>9</v>
      </c>
      <c r="N22" s="13">
        <v>10</v>
      </c>
      <c r="O22" s="13">
        <v>11</v>
      </c>
      <c r="P22" s="13">
        <v>12</v>
      </c>
      <c r="Q22" s="13">
        <v>13</v>
      </c>
      <c r="R22" s="13">
        <v>14</v>
      </c>
      <c r="S22" s="13">
        <v>15</v>
      </c>
      <c r="T22" s="13">
        <v>16</v>
      </c>
      <c r="U22" s="13">
        <v>17</v>
      </c>
      <c r="V22" s="13">
        <v>18</v>
      </c>
      <c r="W22" s="13">
        <v>19</v>
      </c>
      <c r="X22" s="13">
        <v>20</v>
      </c>
      <c r="Y22" s="13">
        <v>21</v>
      </c>
      <c r="Z22" s="13">
        <v>22</v>
      </c>
      <c r="AA22" s="13">
        <v>23</v>
      </c>
      <c r="AB22" s="13">
        <v>24</v>
      </c>
      <c r="AC22" s="13">
        <v>25</v>
      </c>
    </row>
    <row r="23" spans="1:29" x14ac:dyDescent="0.25">
      <c r="B23" s="4"/>
    </row>
    <row r="24" spans="1:29" x14ac:dyDescent="0.25">
      <c r="B24" s="9" t="s">
        <v>9</v>
      </c>
      <c r="E24" s="16">
        <f>$C$7*$C$8*$C$15</f>
        <v>525600</v>
      </c>
      <c r="F24" s="16">
        <f t="shared" ref="F24:AC24" si="0">$C$7*$C$8*$C$15</f>
        <v>525600</v>
      </c>
      <c r="G24" s="16">
        <f t="shared" si="0"/>
        <v>525600</v>
      </c>
      <c r="H24" s="16">
        <f t="shared" si="0"/>
        <v>525600</v>
      </c>
      <c r="I24" s="16">
        <f t="shared" si="0"/>
        <v>525600</v>
      </c>
      <c r="J24" s="16">
        <f t="shared" si="0"/>
        <v>525600</v>
      </c>
      <c r="K24" s="16">
        <f t="shared" si="0"/>
        <v>525600</v>
      </c>
      <c r="L24" s="16">
        <f t="shared" si="0"/>
        <v>525600</v>
      </c>
      <c r="M24" s="16">
        <f t="shared" si="0"/>
        <v>525600</v>
      </c>
      <c r="N24" s="16">
        <f t="shared" si="0"/>
        <v>525600</v>
      </c>
      <c r="O24" s="16">
        <f t="shared" si="0"/>
        <v>525600</v>
      </c>
      <c r="P24" s="16">
        <f t="shared" si="0"/>
        <v>525600</v>
      </c>
      <c r="Q24" s="16">
        <f t="shared" si="0"/>
        <v>525600</v>
      </c>
      <c r="R24" s="16">
        <f t="shared" si="0"/>
        <v>525600</v>
      </c>
      <c r="S24" s="16">
        <f t="shared" si="0"/>
        <v>525600</v>
      </c>
      <c r="T24" s="16">
        <f t="shared" si="0"/>
        <v>525600</v>
      </c>
      <c r="U24" s="16">
        <f t="shared" si="0"/>
        <v>525600</v>
      </c>
      <c r="V24" s="16">
        <f t="shared" si="0"/>
        <v>525600</v>
      </c>
      <c r="W24" s="16">
        <f t="shared" si="0"/>
        <v>525600</v>
      </c>
      <c r="X24" s="16">
        <f t="shared" si="0"/>
        <v>525600</v>
      </c>
      <c r="Y24" s="16">
        <f t="shared" si="0"/>
        <v>525600</v>
      </c>
      <c r="Z24" s="16">
        <f t="shared" si="0"/>
        <v>525600</v>
      </c>
      <c r="AA24" s="16">
        <f t="shared" si="0"/>
        <v>525600</v>
      </c>
      <c r="AB24" s="16">
        <f t="shared" si="0"/>
        <v>525600</v>
      </c>
      <c r="AC24" s="16">
        <f t="shared" si="0"/>
        <v>525600</v>
      </c>
    </row>
    <row r="25" spans="1:29" x14ac:dyDescent="0.25">
      <c r="B25" s="9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</row>
    <row r="26" spans="1:29" x14ac:dyDescent="0.25">
      <c r="B26" s="9" t="s">
        <v>12</v>
      </c>
      <c r="E26" s="18">
        <f>(1+$C$11)^(E22-1)</f>
        <v>1</v>
      </c>
      <c r="F26" s="18">
        <f t="shared" ref="F26:AC26" si="1">(1+$C$11)^(F22-1)</f>
        <v>1.02</v>
      </c>
      <c r="G26" s="18">
        <f t="shared" si="1"/>
        <v>1.0404</v>
      </c>
      <c r="H26" s="18">
        <f t="shared" si="1"/>
        <v>1.0612079999999999</v>
      </c>
      <c r="I26" s="18">
        <f t="shared" si="1"/>
        <v>1.08243216</v>
      </c>
      <c r="J26" s="18">
        <f t="shared" si="1"/>
        <v>1.1040808032</v>
      </c>
      <c r="K26" s="18">
        <f t="shared" si="1"/>
        <v>1.1261624192640001</v>
      </c>
      <c r="L26" s="18">
        <f t="shared" si="1"/>
        <v>1.1486856676492798</v>
      </c>
      <c r="M26" s="18">
        <f t="shared" si="1"/>
        <v>1.1716593810022655</v>
      </c>
      <c r="N26" s="18">
        <f t="shared" si="1"/>
        <v>1.1950925686223108</v>
      </c>
      <c r="O26" s="18">
        <f t="shared" si="1"/>
        <v>1.2189944199947571</v>
      </c>
      <c r="P26" s="18">
        <f t="shared" si="1"/>
        <v>1.243374308394652</v>
      </c>
      <c r="Q26" s="18">
        <f t="shared" si="1"/>
        <v>1.2682417945625453</v>
      </c>
      <c r="R26" s="18">
        <f t="shared" si="1"/>
        <v>1.2936066304537961</v>
      </c>
      <c r="S26" s="18">
        <f t="shared" si="1"/>
        <v>1.3194787630628722</v>
      </c>
      <c r="T26" s="18">
        <f t="shared" si="1"/>
        <v>1.3458683383241292</v>
      </c>
      <c r="U26" s="18">
        <f t="shared" si="1"/>
        <v>1.372785705090612</v>
      </c>
      <c r="V26" s="18">
        <f t="shared" si="1"/>
        <v>1.4002414191924244</v>
      </c>
      <c r="W26" s="18">
        <f t="shared" si="1"/>
        <v>1.4282462475762727</v>
      </c>
      <c r="X26" s="18">
        <f t="shared" si="1"/>
        <v>1.4568111725277981</v>
      </c>
      <c r="Y26" s="18">
        <f t="shared" si="1"/>
        <v>1.4859473959783542</v>
      </c>
      <c r="Z26" s="18">
        <f t="shared" si="1"/>
        <v>1.5156663438979212</v>
      </c>
      <c r="AA26" s="18">
        <f t="shared" si="1"/>
        <v>1.5459796707758797</v>
      </c>
      <c r="AB26" s="18">
        <f t="shared" si="1"/>
        <v>1.576899264191397</v>
      </c>
      <c r="AC26" s="18">
        <f t="shared" si="1"/>
        <v>1.608437249475225</v>
      </c>
    </row>
    <row r="27" spans="1:29" x14ac:dyDescent="0.25">
      <c r="B27" s="9" t="s">
        <v>7</v>
      </c>
      <c r="E27" s="18">
        <f>(1+$C$12)^(E22-1)</f>
        <v>1</v>
      </c>
      <c r="F27" s="18">
        <f t="shared" ref="F27:AC27" si="2">(1+$C$12)^(F22-1)</f>
        <v>1.0249999999999999</v>
      </c>
      <c r="G27" s="18">
        <f t="shared" si="2"/>
        <v>1.0506249999999999</v>
      </c>
      <c r="H27" s="18">
        <f t="shared" si="2"/>
        <v>1.0768906249999999</v>
      </c>
      <c r="I27" s="18">
        <f t="shared" si="2"/>
        <v>1.1038128906249998</v>
      </c>
      <c r="J27" s="18">
        <f t="shared" si="2"/>
        <v>1.1314082128906247</v>
      </c>
      <c r="K27" s="18">
        <f t="shared" si="2"/>
        <v>1.1596934182128902</v>
      </c>
      <c r="L27" s="18">
        <f t="shared" si="2"/>
        <v>1.1886857536682125</v>
      </c>
      <c r="M27" s="18">
        <f t="shared" si="2"/>
        <v>1.2184028975099177</v>
      </c>
      <c r="N27" s="18">
        <f t="shared" si="2"/>
        <v>1.2488629699476654</v>
      </c>
      <c r="O27" s="18">
        <f t="shared" si="2"/>
        <v>1.2800845441963571</v>
      </c>
      <c r="P27" s="18">
        <f t="shared" si="2"/>
        <v>1.312086657801266</v>
      </c>
      <c r="Q27" s="18">
        <f t="shared" si="2"/>
        <v>1.3448888242462975</v>
      </c>
      <c r="R27" s="18">
        <f t="shared" si="2"/>
        <v>1.3785110448524549</v>
      </c>
      <c r="S27" s="18">
        <f t="shared" si="2"/>
        <v>1.4129738209737661</v>
      </c>
      <c r="T27" s="18">
        <f t="shared" si="2"/>
        <v>1.4482981664981105</v>
      </c>
      <c r="U27" s="18">
        <f t="shared" si="2"/>
        <v>1.4845056206605631</v>
      </c>
      <c r="V27" s="18">
        <f t="shared" si="2"/>
        <v>1.521618261177077</v>
      </c>
      <c r="W27" s="18">
        <f t="shared" si="2"/>
        <v>1.559658717706504</v>
      </c>
      <c r="X27" s="18">
        <f t="shared" si="2"/>
        <v>1.5986501856491666</v>
      </c>
      <c r="Y27" s="18">
        <f t="shared" si="2"/>
        <v>1.6386164402903955</v>
      </c>
      <c r="Z27" s="18">
        <f t="shared" si="2"/>
        <v>1.6795818512976552</v>
      </c>
      <c r="AA27" s="18">
        <f t="shared" si="2"/>
        <v>1.7215713975800966</v>
      </c>
      <c r="AB27" s="18">
        <f t="shared" si="2"/>
        <v>1.7646106825195991</v>
      </c>
      <c r="AC27" s="18">
        <f t="shared" si="2"/>
        <v>1.8087259495825889</v>
      </c>
    </row>
    <row r="28" spans="1:29" x14ac:dyDescent="0.25">
      <c r="B28" s="9"/>
    </row>
    <row r="29" spans="1:29" x14ac:dyDescent="0.25">
      <c r="B29" s="9" t="s">
        <v>10</v>
      </c>
      <c r="E29" s="19">
        <f>$C$10*E26</f>
        <v>50</v>
      </c>
      <c r="F29" s="19">
        <f t="shared" ref="F29:AC29" si="3">$C$10*F26</f>
        <v>51</v>
      </c>
      <c r="G29" s="19">
        <f t="shared" si="3"/>
        <v>52.019999999999996</v>
      </c>
      <c r="H29" s="19">
        <f t="shared" si="3"/>
        <v>53.060399999999994</v>
      </c>
      <c r="I29" s="19">
        <f t="shared" si="3"/>
        <v>54.121608000000002</v>
      </c>
      <c r="J29" s="19">
        <f t="shared" si="3"/>
        <v>55.204040159999998</v>
      </c>
      <c r="K29" s="19">
        <f t="shared" si="3"/>
        <v>56.308120963200004</v>
      </c>
      <c r="L29" s="19">
        <f t="shared" si="3"/>
        <v>57.434283382463988</v>
      </c>
      <c r="M29" s="19">
        <f t="shared" si="3"/>
        <v>58.582969050113277</v>
      </c>
      <c r="N29" s="19">
        <f t="shared" si="3"/>
        <v>59.754628431115542</v>
      </c>
      <c r="O29" s="19">
        <f t="shared" si="3"/>
        <v>60.949720999737856</v>
      </c>
      <c r="P29" s="19">
        <f t="shared" si="3"/>
        <v>62.1687154197326</v>
      </c>
      <c r="Q29" s="19">
        <f t="shared" si="3"/>
        <v>63.412089728127263</v>
      </c>
      <c r="R29" s="19">
        <f t="shared" si="3"/>
        <v>64.680331522689798</v>
      </c>
      <c r="S29" s="19">
        <f t="shared" si="3"/>
        <v>65.973938153143607</v>
      </c>
      <c r="T29" s="19">
        <f t="shared" si="3"/>
        <v>67.293416916206468</v>
      </c>
      <c r="U29" s="19">
        <f t="shared" si="3"/>
        <v>68.639285254530606</v>
      </c>
      <c r="V29" s="19">
        <f t="shared" si="3"/>
        <v>70.012070959621227</v>
      </c>
      <c r="W29" s="19">
        <f t="shared" si="3"/>
        <v>71.412312378813638</v>
      </c>
      <c r="X29" s="19">
        <f t="shared" si="3"/>
        <v>72.840558626389907</v>
      </c>
      <c r="Y29" s="19">
        <f t="shared" si="3"/>
        <v>74.297369798917714</v>
      </c>
      <c r="Z29" s="19">
        <f t="shared" si="3"/>
        <v>75.783317194896057</v>
      </c>
      <c r="AA29" s="19">
        <f t="shared" si="3"/>
        <v>77.298983538793991</v>
      </c>
      <c r="AB29" s="19">
        <f t="shared" si="3"/>
        <v>78.844963209569855</v>
      </c>
      <c r="AC29" s="19">
        <f t="shared" si="3"/>
        <v>80.421862473761252</v>
      </c>
    </row>
    <row r="30" spans="1:29" x14ac:dyDescent="0.25">
      <c r="B30" s="9"/>
    </row>
    <row r="31" spans="1:29" x14ac:dyDescent="0.25">
      <c r="B31" s="9" t="s">
        <v>58</v>
      </c>
      <c r="E31" s="16">
        <f>E29*E24/$C$16</f>
        <v>26280</v>
      </c>
      <c r="F31" s="16">
        <f t="shared" ref="F31:AC31" si="4">F29*F24/$C$16</f>
        <v>26805.599999999999</v>
      </c>
      <c r="G31" s="16">
        <f t="shared" si="4"/>
        <v>27341.711999999996</v>
      </c>
      <c r="H31" s="16">
        <f t="shared" si="4"/>
        <v>27888.54624</v>
      </c>
      <c r="I31" s="16">
        <f t="shared" si="4"/>
        <v>28446.317164799999</v>
      </c>
      <c r="J31" s="16">
        <f t="shared" si="4"/>
        <v>29015.243508095999</v>
      </c>
      <c r="K31" s="16">
        <f t="shared" si="4"/>
        <v>29595.548378257921</v>
      </c>
      <c r="L31" s="16">
        <f t="shared" si="4"/>
        <v>30187.45934582307</v>
      </c>
      <c r="M31" s="16">
        <f t="shared" si="4"/>
        <v>30791.20853273954</v>
      </c>
      <c r="N31" s="16">
        <f t="shared" si="4"/>
        <v>31407.032703394329</v>
      </c>
      <c r="O31" s="16">
        <f t="shared" si="4"/>
        <v>32035.173357462216</v>
      </c>
      <c r="P31" s="16">
        <f t="shared" si="4"/>
        <v>32675.876824611456</v>
      </c>
      <c r="Q31" s="16">
        <f t="shared" si="4"/>
        <v>33329.394361103688</v>
      </c>
      <c r="R31" s="16">
        <f t="shared" si="4"/>
        <v>33995.982248325759</v>
      </c>
      <c r="S31" s="16">
        <f t="shared" si="4"/>
        <v>34675.901893292277</v>
      </c>
      <c r="T31" s="16">
        <f t="shared" si="4"/>
        <v>35369.419931158118</v>
      </c>
      <c r="U31" s="16">
        <f t="shared" si="4"/>
        <v>36076.808329781285</v>
      </c>
      <c r="V31" s="16">
        <f t="shared" si="4"/>
        <v>36798.344496376914</v>
      </c>
      <c r="W31" s="16">
        <f t="shared" si="4"/>
        <v>37534.311386304449</v>
      </c>
      <c r="X31" s="16">
        <f t="shared" si="4"/>
        <v>38284.99761403053</v>
      </c>
      <c r="Y31" s="16">
        <f t="shared" si="4"/>
        <v>39050.697566311152</v>
      </c>
      <c r="Z31" s="16">
        <f t="shared" si="4"/>
        <v>39831.711517637363</v>
      </c>
      <c r="AA31" s="16">
        <f t="shared" si="4"/>
        <v>40628.345747990126</v>
      </c>
      <c r="AB31" s="16">
        <f t="shared" si="4"/>
        <v>41440.912662949915</v>
      </c>
      <c r="AC31" s="16">
        <f t="shared" si="4"/>
        <v>42269.730916208915</v>
      </c>
    </row>
    <row r="32" spans="1:29" x14ac:dyDescent="0.25">
      <c r="B32" s="21" t="s">
        <v>59</v>
      </c>
      <c r="E32" s="17">
        <f>-$C$9*$C$7*E27</f>
        <v>-8000</v>
      </c>
      <c r="F32" s="17">
        <f t="shared" ref="F32:AC32" si="5">-$C$9*$C$7*F27</f>
        <v>-8200</v>
      </c>
      <c r="G32" s="17">
        <f t="shared" si="5"/>
        <v>-8405</v>
      </c>
      <c r="H32" s="17">
        <f t="shared" si="5"/>
        <v>-8615.1249999999982</v>
      </c>
      <c r="I32" s="17">
        <f t="shared" si="5"/>
        <v>-8830.5031249999975</v>
      </c>
      <c r="J32" s="17">
        <f t="shared" si="5"/>
        <v>-9051.2657031249964</v>
      </c>
      <c r="K32" s="17">
        <f t="shared" si="5"/>
        <v>-9277.5473457031221</v>
      </c>
      <c r="L32" s="17">
        <f t="shared" si="5"/>
        <v>-9509.4860293457004</v>
      </c>
      <c r="M32" s="17">
        <f t="shared" si="5"/>
        <v>-9747.2231800793415</v>
      </c>
      <c r="N32" s="17">
        <f t="shared" si="5"/>
        <v>-9990.9037595813243</v>
      </c>
      <c r="O32" s="17">
        <f t="shared" si="5"/>
        <v>-10240.676353570856</v>
      </c>
      <c r="P32" s="17">
        <f t="shared" si="5"/>
        <v>-10496.693262410128</v>
      </c>
      <c r="Q32" s="17">
        <f t="shared" si="5"/>
        <v>-10759.110593970379</v>
      </c>
      <c r="R32" s="17">
        <f t="shared" si="5"/>
        <v>-11028.088358819639</v>
      </c>
      <c r="S32" s="17">
        <f t="shared" si="5"/>
        <v>-11303.790567790129</v>
      </c>
      <c r="T32" s="17">
        <f t="shared" si="5"/>
        <v>-11586.385331984884</v>
      </c>
      <c r="U32" s="17">
        <f t="shared" si="5"/>
        <v>-11876.044965284505</v>
      </c>
      <c r="V32" s="17">
        <f t="shared" si="5"/>
        <v>-12172.946089416617</v>
      </c>
      <c r="W32" s="17">
        <f t="shared" si="5"/>
        <v>-12477.269741652031</v>
      </c>
      <c r="X32" s="17">
        <f t="shared" si="5"/>
        <v>-12789.201485193333</v>
      </c>
      <c r="Y32" s="17">
        <f t="shared" si="5"/>
        <v>-13108.931522323164</v>
      </c>
      <c r="Z32" s="17">
        <f t="shared" si="5"/>
        <v>-13436.654810381242</v>
      </c>
      <c r="AA32" s="17">
        <f t="shared" si="5"/>
        <v>-13772.571180640773</v>
      </c>
      <c r="AB32" s="17">
        <f t="shared" si="5"/>
        <v>-14116.885460156793</v>
      </c>
      <c r="AC32" s="17">
        <f t="shared" si="5"/>
        <v>-14469.807596660712</v>
      </c>
    </row>
    <row r="33" spans="2:29" x14ac:dyDescent="0.25">
      <c r="B33" s="22" t="s">
        <v>11</v>
      </c>
      <c r="C33" s="8"/>
      <c r="D33" s="10"/>
      <c r="E33" s="23">
        <f>E31+E32</f>
        <v>18280</v>
      </c>
      <c r="F33" s="23">
        <f t="shared" ref="F33:AC33" si="6">F31+F32</f>
        <v>18605.599999999999</v>
      </c>
      <c r="G33" s="23">
        <f t="shared" si="6"/>
        <v>18936.711999999996</v>
      </c>
      <c r="H33" s="23">
        <f t="shared" si="6"/>
        <v>19273.421240000003</v>
      </c>
      <c r="I33" s="23">
        <f t="shared" si="6"/>
        <v>19615.814039800003</v>
      </c>
      <c r="J33" s="23">
        <f t="shared" si="6"/>
        <v>19963.977804971</v>
      </c>
      <c r="K33" s="23">
        <f t="shared" si="6"/>
        <v>20318.001032554799</v>
      </c>
      <c r="L33" s="23">
        <f t="shared" si="6"/>
        <v>20677.973316477372</v>
      </c>
      <c r="M33" s="23">
        <f t="shared" si="6"/>
        <v>21043.985352660198</v>
      </c>
      <c r="N33" s="23">
        <f t="shared" si="6"/>
        <v>21416.128943813004</v>
      </c>
      <c r="O33" s="23">
        <f t="shared" si="6"/>
        <v>21794.49700389136</v>
      </c>
      <c r="P33" s="23">
        <f t="shared" si="6"/>
        <v>22179.183562201328</v>
      </c>
      <c r="Q33" s="23">
        <f t="shared" si="6"/>
        <v>22570.283767133311</v>
      </c>
      <c r="R33" s="23">
        <f t="shared" si="6"/>
        <v>22967.893889506122</v>
      </c>
      <c r="S33" s="23">
        <f t="shared" si="6"/>
        <v>23372.111325502148</v>
      </c>
      <c r="T33" s="23">
        <f t="shared" si="6"/>
        <v>23783.034599173232</v>
      </c>
      <c r="U33" s="23">
        <f t="shared" si="6"/>
        <v>24200.763364496779</v>
      </c>
      <c r="V33" s="23">
        <f t="shared" si="6"/>
        <v>24625.398406960296</v>
      </c>
      <c r="W33" s="23">
        <f t="shared" si="6"/>
        <v>25057.041644652418</v>
      </c>
      <c r="X33" s="23">
        <f t="shared" si="6"/>
        <v>25495.796128837195</v>
      </c>
      <c r="Y33" s="23">
        <f t="shared" si="6"/>
        <v>25941.766043987987</v>
      </c>
      <c r="Z33" s="23">
        <f t="shared" si="6"/>
        <v>26395.056707256121</v>
      </c>
      <c r="AA33" s="23">
        <f t="shared" si="6"/>
        <v>26855.774567349355</v>
      </c>
      <c r="AB33" s="23">
        <f t="shared" si="6"/>
        <v>27324.027202793121</v>
      </c>
      <c r="AC33" s="23">
        <f t="shared" si="6"/>
        <v>27799.923319548201</v>
      </c>
    </row>
    <row r="34" spans="2:29" x14ac:dyDescent="0.25">
      <c r="B34" s="9"/>
    </row>
    <row r="35" spans="2:29" x14ac:dyDescent="0.25">
      <c r="B35" s="9" t="s">
        <v>60</v>
      </c>
      <c r="E35" s="17">
        <f>E33</f>
        <v>18280</v>
      </c>
      <c r="F35" s="17">
        <f t="shared" ref="F35:AC35" si="7">F33</f>
        <v>18605.599999999999</v>
      </c>
      <c r="G35" s="17">
        <f t="shared" si="7"/>
        <v>18936.711999999996</v>
      </c>
      <c r="H35" s="17">
        <f t="shared" si="7"/>
        <v>19273.421240000003</v>
      </c>
      <c r="I35" s="17">
        <f t="shared" si="7"/>
        <v>19615.814039800003</v>
      </c>
      <c r="J35" s="17">
        <f t="shared" si="7"/>
        <v>19963.977804971</v>
      </c>
      <c r="K35" s="17">
        <f t="shared" si="7"/>
        <v>20318.001032554799</v>
      </c>
      <c r="L35" s="17">
        <f t="shared" si="7"/>
        <v>20677.973316477372</v>
      </c>
      <c r="M35" s="17">
        <f t="shared" si="7"/>
        <v>21043.985352660198</v>
      </c>
      <c r="N35" s="17">
        <f t="shared" si="7"/>
        <v>21416.128943813004</v>
      </c>
      <c r="O35" s="17">
        <f t="shared" si="7"/>
        <v>21794.49700389136</v>
      </c>
      <c r="P35" s="17">
        <f t="shared" si="7"/>
        <v>22179.183562201328</v>
      </c>
      <c r="Q35" s="17">
        <f t="shared" si="7"/>
        <v>22570.283767133311</v>
      </c>
      <c r="R35" s="17">
        <f t="shared" si="7"/>
        <v>22967.893889506122</v>
      </c>
      <c r="S35" s="17">
        <f t="shared" si="7"/>
        <v>23372.111325502148</v>
      </c>
      <c r="T35" s="17">
        <f t="shared" si="7"/>
        <v>23783.034599173232</v>
      </c>
      <c r="U35" s="17">
        <f t="shared" si="7"/>
        <v>24200.763364496779</v>
      </c>
      <c r="V35" s="17">
        <f t="shared" si="7"/>
        <v>24625.398406960296</v>
      </c>
      <c r="W35" s="17">
        <f t="shared" si="7"/>
        <v>25057.041644652418</v>
      </c>
      <c r="X35" s="17">
        <f t="shared" si="7"/>
        <v>25495.796128837195</v>
      </c>
      <c r="Y35" s="17">
        <f t="shared" si="7"/>
        <v>25941.766043987987</v>
      </c>
      <c r="Z35" s="17">
        <f t="shared" si="7"/>
        <v>26395.056707256121</v>
      </c>
      <c r="AA35" s="17">
        <f t="shared" si="7"/>
        <v>26855.774567349355</v>
      </c>
      <c r="AB35" s="17">
        <f t="shared" si="7"/>
        <v>27324.027202793121</v>
      </c>
      <c r="AC35" s="17">
        <f t="shared" si="7"/>
        <v>27799.923319548201</v>
      </c>
    </row>
    <row r="36" spans="2:29" x14ac:dyDescent="0.25">
      <c r="B36" s="9"/>
    </row>
    <row r="37" spans="2:29" x14ac:dyDescent="0.25">
      <c r="B37" s="9" t="s">
        <v>14</v>
      </c>
      <c r="E37" s="17">
        <f>E35/$C$13</f>
        <v>18280</v>
      </c>
      <c r="F37" s="17">
        <f t="shared" ref="F37:AC37" si="8">F35/$C$13</f>
        <v>18605.599999999999</v>
      </c>
      <c r="G37" s="17">
        <f t="shared" si="8"/>
        <v>18936.711999999996</v>
      </c>
      <c r="H37" s="17">
        <f t="shared" si="8"/>
        <v>19273.421240000003</v>
      </c>
      <c r="I37" s="17">
        <f t="shared" si="8"/>
        <v>19615.814039800003</v>
      </c>
      <c r="J37" s="17">
        <f t="shared" si="8"/>
        <v>19963.977804971</v>
      </c>
      <c r="K37" s="17">
        <f t="shared" si="8"/>
        <v>20318.001032554799</v>
      </c>
      <c r="L37" s="17">
        <f t="shared" si="8"/>
        <v>20677.973316477372</v>
      </c>
      <c r="M37" s="17">
        <f t="shared" si="8"/>
        <v>21043.985352660198</v>
      </c>
      <c r="N37" s="17">
        <f t="shared" si="8"/>
        <v>21416.128943813004</v>
      </c>
      <c r="O37" s="17">
        <f t="shared" si="8"/>
        <v>21794.49700389136</v>
      </c>
      <c r="P37" s="17">
        <f t="shared" si="8"/>
        <v>22179.183562201328</v>
      </c>
      <c r="Q37" s="17">
        <f t="shared" si="8"/>
        <v>22570.283767133311</v>
      </c>
      <c r="R37" s="17">
        <f t="shared" si="8"/>
        <v>22967.893889506122</v>
      </c>
      <c r="S37" s="17">
        <f t="shared" si="8"/>
        <v>23372.111325502148</v>
      </c>
      <c r="T37" s="17">
        <f t="shared" si="8"/>
        <v>23783.034599173232</v>
      </c>
      <c r="U37" s="17">
        <f t="shared" si="8"/>
        <v>24200.763364496779</v>
      </c>
      <c r="V37" s="17">
        <f t="shared" si="8"/>
        <v>24625.398406960296</v>
      </c>
      <c r="W37" s="17">
        <f t="shared" si="8"/>
        <v>25057.041644652418</v>
      </c>
      <c r="X37" s="17">
        <f t="shared" si="8"/>
        <v>25495.796128837195</v>
      </c>
      <c r="Y37" s="17">
        <f t="shared" si="8"/>
        <v>25941.766043987987</v>
      </c>
      <c r="Z37" s="17">
        <f t="shared" si="8"/>
        <v>26395.056707256121</v>
      </c>
      <c r="AA37" s="17">
        <f t="shared" si="8"/>
        <v>26855.774567349355</v>
      </c>
      <c r="AB37" s="17">
        <f t="shared" si="8"/>
        <v>27324.027202793121</v>
      </c>
      <c r="AC37" s="17">
        <f t="shared" si="8"/>
        <v>27799.923319548201</v>
      </c>
    </row>
    <row r="38" spans="2:29" x14ac:dyDescent="0.25">
      <c r="B38" s="9"/>
    </row>
    <row r="39" spans="2:29" x14ac:dyDescent="0.25">
      <c r="B39" s="30" t="s">
        <v>63</v>
      </c>
      <c r="C39" s="31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</row>
    <row r="40" spans="2:29" ht="14.4" x14ac:dyDescent="0.3"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</row>
    <row r="41" spans="2:29" x14ac:dyDescent="0.25">
      <c r="B41" s="9" t="s">
        <v>16</v>
      </c>
      <c r="E41" s="17">
        <f>D44</f>
        <v>324116.71261894098</v>
      </c>
      <c r="F41" s="17">
        <f t="shared" ref="F41:AC41" si="9">E44</f>
        <v>320421.96468679333</v>
      </c>
      <c r="G41" s="17">
        <f t="shared" si="9"/>
        <v>316235.35309769906</v>
      </c>
      <c r="H41" s="17">
        <f t="shared" si="9"/>
        <v>311529.2319870955</v>
      </c>
      <c r="I41" s="17">
        <f t="shared" si="9"/>
        <v>306274.6261865148</v>
      </c>
      <c r="J41" s="17">
        <f t="shared" si="9"/>
        <v>300441.17032510799</v>
      </c>
      <c r="K41" s="17">
        <f t="shared" si="9"/>
        <v>293997.04518476687</v>
      </c>
      <c r="L41" s="17">
        <f t="shared" si="9"/>
        <v>286908.91118552658</v>
      </c>
      <c r="M41" s="17">
        <f t="shared" si="9"/>
        <v>279141.8388723979</v>
      </c>
      <c r="N41" s="17">
        <f t="shared" si="9"/>
        <v>270659.23626899562</v>
      </c>
      <c r="O41" s="17">
        <f t="shared" si="9"/>
        <v>261422.77295728741</v>
      </c>
      <c r="P41" s="17">
        <f t="shared" si="9"/>
        <v>251392.30073647399</v>
      </c>
      <c r="Q41" s="17">
        <f t="shared" si="9"/>
        <v>240525.77070741399</v>
      </c>
      <c r="R41" s="17">
        <f t="shared" si="9"/>
        <v>228779.14662211432</v>
      </c>
      <c r="S41" s="17">
        <f t="shared" si="9"/>
        <v>216106.31433060335</v>
      </c>
      <c r="T41" s="17">
        <f t="shared" si="9"/>
        <v>202458.98714997835</v>
      </c>
      <c r="U41" s="17">
        <f t="shared" si="9"/>
        <v>187786.60697255415</v>
      </c>
      <c r="V41" s="17">
        <f t="shared" si="9"/>
        <v>172036.24092182229</v>
      </c>
      <c r="W41" s="17">
        <f t="shared" si="9"/>
        <v>155152.47335634398</v>
      </c>
      <c r="X41" s="17">
        <f t="shared" si="9"/>
        <v>137077.29301272705</v>
      </c>
      <c r="Y41" s="17">
        <f t="shared" si="9"/>
        <v>117749.97506946257</v>
      </c>
      <c r="Z41" s="17">
        <f t="shared" si="9"/>
        <v>97106.9579036004</v>
      </c>
      <c r="AA41" s="17">
        <f t="shared" si="9"/>
        <v>75081.714302006294</v>
      </c>
      <c r="AB41" s="17">
        <f t="shared" si="9"/>
        <v>51604.616878247223</v>
      </c>
      <c r="AC41" s="17">
        <f t="shared" si="9"/>
        <v>26602.797434975226</v>
      </c>
    </row>
    <row r="42" spans="2:29" x14ac:dyDescent="0.25">
      <c r="B42" s="21" t="s">
        <v>61</v>
      </c>
      <c r="E42" s="17">
        <f>-D44*$C$14</f>
        <v>-14585.252067852343</v>
      </c>
      <c r="F42" s="17">
        <f t="shared" ref="F42:AC42" si="10">-E44*$C$14</f>
        <v>-14418.9884109057</v>
      </c>
      <c r="G42" s="17">
        <f t="shared" si="10"/>
        <v>-14230.590889396457</v>
      </c>
      <c r="H42" s="17">
        <f t="shared" si="10"/>
        <v>-14018.815439419297</v>
      </c>
      <c r="I42" s="17">
        <f t="shared" si="10"/>
        <v>-13782.358178393166</v>
      </c>
      <c r="J42" s="17">
        <f t="shared" si="10"/>
        <v>-13519.85266462986</v>
      </c>
      <c r="K42" s="17">
        <f t="shared" si="10"/>
        <v>-13229.867033314509</v>
      </c>
      <c r="L42" s="17">
        <f t="shared" si="10"/>
        <v>-12910.901003348696</v>
      </c>
      <c r="M42" s="17">
        <f t="shared" si="10"/>
        <v>-12561.382749257906</v>
      </c>
      <c r="N42" s="17">
        <f t="shared" si="10"/>
        <v>-12179.665632104803</v>
      </c>
      <c r="O42" s="17">
        <f t="shared" si="10"/>
        <v>-11764.024783077934</v>
      </c>
      <c r="P42" s="17">
        <f t="shared" si="10"/>
        <v>-11312.653533141329</v>
      </c>
      <c r="Q42" s="17">
        <f t="shared" si="10"/>
        <v>-10823.659681833629</v>
      </c>
      <c r="R42" s="17">
        <f t="shared" si="10"/>
        <v>-10295.061597995144</v>
      </c>
      <c r="S42" s="17">
        <f t="shared" si="10"/>
        <v>-9724.7841448771505</v>
      </c>
      <c r="T42" s="17">
        <f t="shared" si="10"/>
        <v>-9110.6544217490246</v>
      </c>
      <c r="U42" s="17">
        <f t="shared" si="10"/>
        <v>-8450.3973137649355</v>
      </c>
      <c r="V42" s="17">
        <f t="shared" si="10"/>
        <v>-7741.6308414820023</v>
      </c>
      <c r="W42" s="17">
        <f t="shared" si="10"/>
        <v>-6981.8613010354793</v>
      </c>
      <c r="X42" s="17">
        <f t="shared" si="10"/>
        <v>-6168.4781855727169</v>
      </c>
      <c r="Y42" s="17">
        <f t="shared" si="10"/>
        <v>-5298.7488781258153</v>
      </c>
      <c r="Z42" s="17">
        <f t="shared" si="10"/>
        <v>-4369.8131056620177</v>
      </c>
      <c r="AA42" s="17">
        <f t="shared" si="10"/>
        <v>-3378.6771435902833</v>
      </c>
      <c r="AB42" s="17">
        <f t="shared" si="10"/>
        <v>-2322.2077595211249</v>
      </c>
      <c r="AC42" s="17">
        <f t="shared" si="10"/>
        <v>-1197.1258845738851</v>
      </c>
    </row>
    <row r="43" spans="2:29" x14ac:dyDescent="0.25">
      <c r="B43" s="21" t="s">
        <v>62</v>
      </c>
      <c r="E43" s="17">
        <f>-E37-E42</f>
        <v>-3694.7479321476567</v>
      </c>
      <c r="F43" s="17">
        <f t="shared" ref="F43:AC43" si="11">-F37-F42</f>
        <v>-4186.6115890942983</v>
      </c>
      <c r="G43" s="17">
        <f t="shared" si="11"/>
        <v>-4706.1211106035389</v>
      </c>
      <c r="H43" s="17">
        <f t="shared" si="11"/>
        <v>-5254.6058005807063</v>
      </c>
      <c r="I43" s="17">
        <f t="shared" si="11"/>
        <v>-5833.4558614068374</v>
      </c>
      <c r="J43" s="17">
        <f t="shared" si="11"/>
        <v>-6444.1251403411406</v>
      </c>
      <c r="K43" s="17">
        <f t="shared" si="11"/>
        <v>-7088.13399924029</v>
      </c>
      <c r="L43" s="17">
        <f t="shared" si="11"/>
        <v>-7767.0723131286759</v>
      </c>
      <c r="M43" s="17">
        <f t="shared" si="11"/>
        <v>-8482.6026034022925</v>
      </c>
      <c r="N43" s="17">
        <f t="shared" si="11"/>
        <v>-9236.4633117082012</v>
      </c>
      <c r="O43" s="17">
        <f t="shared" si="11"/>
        <v>-10030.472220813426</v>
      </c>
      <c r="P43" s="17">
        <f t="shared" si="11"/>
        <v>-10866.530029059999</v>
      </c>
      <c r="Q43" s="17">
        <f t="shared" si="11"/>
        <v>-11746.624085299682</v>
      </c>
      <c r="R43" s="17">
        <f t="shared" si="11"/>
        <v>-12672.832291510978</v>
      </c>
      <c r="S43" s="17">
        <f t="shared" si="11"/>
        <v>-13647.327180624998</v>
      </c>
      <c r="T43" s="17">
        <f t="shared" si="11"/>
        <v>-14672.380177424207</v>
      </c>
      <c r="U43" s="17">
        <f t="shared" si="11"/>
        <v>-15750.366050731844</v>
      </c>
      <c r="V43" s="17">
        <f t="shared" si="11"/>
        <v>-16883.767565478294</v>
      </c>
      <c r="W43" s="17">
        <f t="shared" si="11"/>
        <v>-18075.180343616939</v>
      </c>
      <c r="X43" s="17">
        <f t="shared" si="11"/>
        <v>-19327.317943264479</v>
      </c>
      <c r="Y43" s="17">
        <f t="shared" si="11"/>
        <v>-20643.017165862173</v>
      </c>
      <c r="Z43" s="17">
        <f t="shared" si="11"/>
        <v>-22025.243601594102</v>
      </c>
      <c r="AA43" s="17">
        <f t="shared" si="11"/>
        <v>-23477.097423759071</v>
      </c>
      <c r="AB43" s="17">
        <f t="shared" si="11"/>
        <v>-25001.819443271997</v>
      </c>
      <c r="AC43" s="17">
        <f t="shared" si="11"/>
        <v>-26602.797434974316</v>
      </c>
    </row>
    <row r="44" spans="2:29" x14ac:dyDescent="0.25">
      <c r="B44" s="9" t="s">
        <v>18</v>
      </c>
      <c r="D44" s="20">
        <f>NPV($C$14,E37:AC37)</f>
        <v>324116.71261894098</v>
      </c>
      <c r="E44" s="17">
        <f>E41+E43</f>
        <v>320421.96468679333</v>
      </c>
      <c r="F44" s="17">
        <f t="shared" ref="F44:AC44" si="12">F41+F43</f>
        <v>316235.35309769906</v>
      </c>
      <c r="G44" s="17">
        <f t="shared" si="12"/>
        <v>311529.2319870955</v>
      </c>
      <c r="H44" s="17">
        <f t="shared" si="12"/>
        <v>306274.6261865148</v>
      </c>
      <c r="I44" s="17">
        <f t="shared" si="12"/>
        <v>300441.17032510799</v>
      </c>
      <c r="J44" s="17">
        <f t="shared" si="12"/>
        <v>293997.04518476687</v>
      </c>
      <c r="K44" s="17">
        <f t="shared" si="12"/>
        <v>286908.91118552658</v>
      </c>
      <c r="L44" s="17">
        <f t="shared" si="12"/>
        <v>279141.8388723979</v>
      </c>
      <c r="M44" s="17">
        <f t="shared" si="12"/>
        <v>270659.23626899562</v>
      </c>
      <c r="N44" s="17">
        <f t="shared" si="12"/>
        <v>261422.77295728741</v>
      </c>
      <c r="O44" s="17">
        <f t="shared" si="12"/>
        <v>251392.30073647399</v>
      </c>
      <c r="P44" s="17">
        <f t="shared" si="12"/>
        <v>240525.77070741399</v>
      </c>
      <c r="Q44" s="17">
        <f t="shared" si="12"/>
        <v>228779.14662211432</v>
      </c>
      <c r="R44" s="17">
        <f t="shared" si="12"/>
        <v>216106.31433060335</v>
      </c>
      <c r="S44" s="17">
        <f t="shared" si="12"/>
        <v>202458.98714997835</v>
      </c>
      <c r="T44" s="17">
        <f t="shared" si="12"/>
        <v>187786.60697255415</v>
      </c>
      <c r="U44" s="17">
        <f t="shared" si="12"/>
        <v>172036.24092182229</v>
      </c>
      <c r="V44" s="17">
        <f t="shared" si="12"/>
        <v>155152.47335634398</v>
      </c>
      <c r="W44" s="17">
        <f t="shared" si="12"/>
        <v>137077.29301272705</v>
      </c>
      <c r="X44" s="17">
        <f t="shared" si="12"/>
        <v>117749.97506946257</v>
      </c>
      <c r="Y44" s="17">
        <f t="shared" si="12"/>
        <v>97106.9579036004</v>
      </c>
      <c r="Z44" s="17">
        <f t="shared" si="12"/>
        <v>75081.714302006294</v>
      </c>
      <c r="AA44" s="17">
        <f t="shared" si="12"/>
        <v>51604.616878247223</v>
      </c>
      <c r="AB44" s="17">
        <f t="shared" si="12"/>
        <v>26602.797434975226</v>
      </c>
      <c r="AC44" s="17">
        <f t="shared" si="12"/>
        <v>9.0949470177292824E-10</v>
      </c>
    </row>
  </sheetData>
  <pageMargins left="0.45" right="0.45" top="0.75" bottom="0.75" header="0.3" footer="0.3"/>
  <pageSetup scale="70" fitToWidth="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64"/>
  <sheetViews>
    <sheetView showGridLines="0" topLeftCell="A10" zoomScale="85" zoomScaleNormal="85" workbookViewId="0">
      <selection activeCell="E49" sqref="E49"/>
    </sheetView>
  </sheetViews>
  <sheetFormatPr defaultColWidth="9.109375" defaultRowHeight="13.8" outlineLevelRow="1" x14ac:dyDescent="0.25"/>
  <cols>
    <col min="1" max="1" width="2.6640625" style="3" customWidth="1"/>
    <col min="2" max="2" width="30.6640625" style="1" customWidth="1"/>
    <col min="3" max="3" width="10.5546875" style="2" customWidth="1"/>
    <col min="4" max="29" width="10.33203125" style="3" customWidth="1"/>
    <col min="30" max="16384" width="9.109375" style="3"/>
  </cols>
  <sheetData>
    <row r="1" spans="1:29" ht="16.8" x14ac:dyDescent="0.3">
      <c r="A1" s="33" t="s">
        <v>64</v>
      </c>
    </row>
    <row r="2" spans="1:29" x14ac:dyDescent="0.25">
      <c r="A2" s="3" t="s">
        <v>68</v>
      </c>
    </row>
    <row r="4" spans="1:29" x14ac:dyDescent="0.25">
      <c r="A4" s="27"/>
      <c r="B4" s="27" t="s">
        <v>52</v>
      </c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</row>
    <row r="6" spans="1:29" x14ac:dyDescent="0.25">
      <c r="B6" s="12"/>
      <c r="C6" s="14"/>
      <c r="D6" s="15" t="s">
        <v>57</v>
      </c>
    </row>
    <row r="7" spans="1:29" ht="14.4" x14ac:dyDescent="0.3">
      <c r="A7" s="9"/>
      <c r="B7" s="9" t="s">
        <v>0</v>
      </c>
      <c r="C7" s="16">
        <v>200</v>
      </c>
      <c r="D7" s="3" t="s">
        <v>2</v>
      </c>
      <c r="F7"/>
      <c r="G7"/>
      <c r="H7"/>
      <c r="I7"/>
      <c r="J7"/>
      <c r="K7"/>
      <c r="L7"/>
    </row>
    <row r="8" spans="1:29" ht="14.4" x14ac:dyDescent="0.3">
      <c r="A8" s="9"/>
      <c r="B8" s="9" t="s">
        <v>8</v>
      </c>
      <c r="C8" s="56">
        <v>0.4</v>
      </c>
      <c r="D8" s="3" t="s">
        <v>50</v>
      </c>
      <c r="F8"/>
      <c r="G8"/>
      <c r="H8"/>
      <c r="I8"/>
      <c r="J8"/>
      <c r="K8"/>
      <c r="L8"/>
    </row>
    <row r="9" spans="1:29" ht="14.4" x14ac:dyDescent="0.3">
      <c r="A9" s="9"/>
      <c r="B9" s="9" t="s">
        <v>1</v>
      </c>
      <c r="C9" s="35">
        <v>40</v>
      </c>
      <c r="D9" s="3" t="s">
        <v>3</v>
      </c>
      <c r="F9"/>
      <c r="G9"/>
      <c r="H9"/>
      <c r="I9"/>
      <c r="J9"/>
      <c r="K9"/>
      <c r="L9"/>
    </row>
    <row r="10" spans="1:29" x14ac:dyDescent="0.25">
      <c r="A10" s="9"/>
      <c r="B10" s="9" t="s">
        <v>5</v>
      </c>
      <c r="C10" s="35">
        <v>50</v>
      </c>
      <c r="D10" s="3" t="s">
        <v>4</v>
      </c>
    </row>
    <row r="11" spans="1:29" x14ac:dyDescent="0.25">
      <c r="A11" s="9"/>
      <c r="B11" s="9" t="s">
        <v>6</v>
      </c>
      <c r="C11" s="56">
        <v>0.02</v>
      </c>
      <c r="D11" s="3" t="s">
        <v>50</v>
      </c>
    </row>
    <row r="12" spans="1:29" x14ac:dyDescent="0.25">
      <c r="A12" s="9"/>
      <c r="B12" s="9" t="s">
        <v>7</v>
      </c>
      <c r="C12" s="56">
        <v>2.5000000000000001E-2</v>
      </c>
      <c r="D12" s="3" t="s">
        <v>50</v>
      </c>
    </row>
    <row r="13" spans="1:29" x14ac:dyDescent="0.25">
      <c r="A13" s="9"/>
      <c r="B13" s="9" t="s">
        <v>15</v>
      </c>
      <c r="C13" s="37">
        <f>IF(MIN('P-50'!D44,'P-99'!D44)='P-99'!D44,'P-99'!C13,'P-50'!C13)</f>
        <v>1</v>
      </c>
      <c r="D13" s="3" t="s">
        <v>51</v>
      </c>
    </row>
    <row r="14" spans="1:29" x14ac:dyDescent="0.25">
      <c r="A14" s="9"/>
      <c r="B14" s="9" t="s">
        <v>19</v>
      </c>
      <c r="C14" s="56">
        <v>4.4999999999999998E-2</v>
      </c>
      <c r="D14" s="3" t="s">
        <v>50</v>
      </c>
    </row>
    <row r="15" spans="1:29" x14ac:dyDescent="0.25">
      <c r="A15" s="9"/>
      <c r="B15" s="9" t="s">
        <v>53</v>
      </c>
      <c r="C15" s="16">
        <v>8760</v>
      </c>
      <c r="D15" s="3" t="s">
        <v>55</v>
      </c>
    </row>
    <row r="16" spans="1:29" x14ac:dyDescent="0.25">
      <c r="A16" s="9"/>
      <c r="B16" s="9" t="s">
        <v>54</v>
      </c>
      <c r="C16" s="16">
        <v>1000</v>
      </c>
      <c r="D16" s="3" t="s">
        <v>56</v>
      </c>
    </row>
    <row r="17" spans="1:29" x14ac:dyDescent="0.25">
      <c r="A17" s="9"/>
      <c r="B17" s="9" t="s">
        <v>24</v>
      </c>
      <c r="C17" s="57">
        <v>2100</v>
      </c>
      <c r="D17" s="3" t="s">
        <v>23</v>
      </c>
    </row>
    <row r="18" spans="1:29" x14ac:dyDescent="0.25">
      <c r="A18" s="9"/>
      <c r="B18" s="9" t="s">
        <v>22</v>
      </c>
      <c r="C18" s="16">
        <f>C17*C7</f>
        <v>420000</v>
      </c>
      <c r="D18" s="3" t="s">
        <v>69</v>
      </c>
    </row>
    <row r="19" spans="1:29" x14ac:dyDescent="0.25">
      <c r="A19" s="9"/>
      <c r="B19" s="9"/>
    </row>
    <row r="20" spans="1:29" x14ac:dyDescent="0.25">
      <c r="A20" s="27"/>
      <c r="B20" s="27" t="s">
        <v>73</v>
      </c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</row>
    <row r="21" spans="1:29" x14ac:dyDescent="0.25">
      <c r="A21" s="9"/>
      <c r="B21" s="9"/>
    </row>
    <row r="22" spans="1:29" x14ac:dyDescent="0.25">
      <c r="A22" s="9"/>
      <c r="B22" s="30" t="s">
        <v>66</v>
      </c>
      <c r="C22" s="31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</row>
    <row r="23" spans="1:29" x14ac:dyDescent="0.25">
      <c r="A23" s="9"/>
      <c r="B23" s="9"/>
    </row>
    <row r="24" spans="1:29" x14ac:dyDescent="0.25">
      <c r="A24" s="9"/>
      <c r="B24" s="12" t="s">
        <v>49</v>
      </c>
      <c r="C24" s="11"/>
      <c r="D24" s="13">
        <v>0</v>
      </c>
      <c r="E24" s="13">
        <v>1</v>
      </c>
      <c r="F24" s="13">
        <v>2</v>
      </c>
      <c r="G24" s="13">
        <v>3</v>
      </c>
      <c r="H24" s="13">
        <v>4</v>
      </c>
      <c r="I24" s="13">
        <v>5</v>
      </c>
      <c r="J24" s="13">
        <v>6</v>
      </c>
      <c r="K24" s="13">
        <v>7</v>
      </c>
      <c r="L24" s="13">
        <v>8</v>
      </c>
      <c r="M24" s="13">
        <v>9</v>
      </c>
      <c r="N24" s="13">
        <v>10</v>
      </c>
      <c r="O24" s="13">
        <v>11</v>
      </c>
      <c r="P24" s="13">
        <v>12</v>
      </c>
      <c r="Q24" s="13">
        <v>13</v>
      </c>
      <c r="R24" s="13">
        <v>14</v>
      </c>
      <c r="S24" s="13">
        <v>15</v>
      </c>
      <c r="T24" s="13">
        <v>16</v>
      </c>
      <c r="U24" s="13">
        <v>17</v>
      </c>
      <c r="V24" s="13">
        <v>18</v>
      </c>
      <c r="W24" s="13">
        <v>19</v>
      </c>
      <c r="X24" s="13">
        <v>20</v>
      </c>
      <c r="Y24" s="13">
        <v>21</v>
      </c>
      <c r="Z24" s="13">
        <v>22</v>
      </c>
      <c r="AA24" s="13">
        <v>23</v>
      </c>
      <c r="AB24" s="13">
        <v>24</v>
      </c>
      <c r="AC24" s="13">
        <v>25</v>
      </c>
    </row>
    <row r="25" spans="1:29" x14ac:dyDescent="0.25">
      <c r="A25" s="9"/>
      <c r="B25" s="9"/>
    </row>
    <row r="26" spans="1:29" x14ac:dyDescent="0.25">
      <c r="A26" s="9"/>
      <c r="B26" s="9" t="s">
        <v>9</v>
      </c>
      <c r="E26" s="16">
        <f>$C$7*$C$8*$C$15</f>
        <v>700800</v>
      </c>
      <c r="F26" s="16">
        <f t="shared" ref="F26:AC26" si="0">$C$7*$C$8*$C$15</f>
        <v>700800</v>
      </c>
      <c r="G26" s="16">
        <f t="shared" si="0"/>
        <v>700800</v>
      </c>
      <c r="H26" s="16">
        <f t="shared" si="0"/>
        <v>700800</v>
      </c>
      <c r="I26" s="16">
        <f t="shared" si="0"/>
        <v>700800</v>
      </c>
      <c r="J26" s="16">
        <f t="shared" si="0"/>
        <v>700800</v>
      </c>
      <c r="K26" s="16">
        <f t="shared" si="0"/>
        <v>700800</v>
      </c>
      <c r="L26" s="16">
        <f t="shared" si="0"/>
        <v>700800</v>
      </c>
      <c r="M26" s="16">
        <f t="shared" si="0"/>
        <v>700800</v>
      </c>
      <c r="N26" s="16">
        <f t="shared" si="0"/>
        <v>700800</v>
      </c>
      <c r="O26" s="16">
        <f t="shared" si="0"/>
        <v>700800</v>
      </c>
      <c r="P26" s="16">
        <f t="shared" si="0"/>
        <v>700800</v>
      </c>
      <c r="Q26" s="16">
        <f t="shared" si="0"/>
        <v>700800</v>
      </c>
      <c r="R26" s="16">
        <f t="shared" si="0"/>
        <v>700800</v>
      </c>
      <c r="S26" s="16">
        <f t="shared" si="0"/>
        <v>700800</v>
      </c>
      <c r="T26" s="16">
        <f t="shared" si="0"/>
        <v>700800</v>
      </c>
      <c r="U26" s="16">
        <f t="shared" si="0"/>
        <v>700800</v>
      </c>
      <c r="V26" s="16">
        <f t="shared" si="0"/>
        <v>700800</v>
      </c>
      <c r="W26" s="16">
        <f t="shared" si="0"/>
        <v>700800</v>
      </c>
      <c r="X26" s="16">
        <f t="shared" si="0"/>
        <v>700800</v>
      </c>
      <c r="Y26" s="16">
        <f t="shared" si="0"/>
        <v>700800</v>
      </c>
      <c r="Z26" s="16">
        <f t="shared" si="0"/>
        <v>700800</v>
      </c>
      <c r="AA26" s="16">
        <f t="shared" si="0"/>
        <v>700800</v>
      </c>
      <c r="AB26" s="16">
        <f t="shared" si="0"/>
        <v>700800</v>
      </c>
      <c r="AC26" s="16">
        <f t="shared" si="0"/>
        <v>700800</v>
      </c>
    </row>
    <row r="27" spans="1:29" x14ac:dyDescent="0.25">
      <c r="A27" s="9"/>
      <c r="B27" s="9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</row>
    <row r="28" spans="1:29" x14ac:dyDescent="0.25">
      <c r="A28" s="9"/>
      <c r="B28" s="9" t="s">
        <v>12</v>
      </c>
      <c r="E28" s="18">
        <f t="shared" ref="E28:AC28" si="1">(1+$C$11)^(E24-1)</f>
        <v>1</v>
      </c>
      <c r="F28" s="18">
        <f t="shared" si="1"/>
        <v>1.02</v>
      </c>
      <c r="G28" s="18">
        <f t="shared" si="1"/>
        <v>1.0404</v>
      </c>
      <c r="H28" s="18">
        <f t="shared" si="1"/>
        <v>1.0612079999999999</v>
      </c>
      <c r="I28" s="18">
        <f t="shared" si="1"/>
        <v>1.08243216</v>
      </c>
      <c r="J28" s="18">
        <f t="shared" si="1"/>
        <v>1.1040808032</v>
      </c>
      <c r="K28" s="18">
        <f t="shared" si="1"/>
        <v>1.1261624192640001</v>
      </c>
      <c r="L28" s="18">
        <f t="shared" si="1"/>
        <v>1.1486856676492798</v>
      </c>
      <c r="M28" s="18">
        <f t="shared" si="1"/>
        <v>1.1716593810022655</v>
      </c>
      <c r="N28" s="18">
        <f t="shared" si="1"/>
        <v>1.1950925686223108</v>
      </c>
      <c r="O28" s="18">
        <f t="shared" si="1"/>
        <v>1.2189944199947571</v>
      </c>
      <c r="P28" s="18">
        <f t="shared" si="1"/>
        <v>1.243374308394652</v>
      </c>
      <c r="Q28" s="18">
        <f t="shared" si="1"/>
        <v>1.2682417945625453</v>
      </c>
      <c r="R28" s="18">
        <f t="shared" si="1"/>
        <v>1.2936066304537961</v>
      </c>
      <c r="S28" s="18">
        <f t="shared" si="1"/>
        <v>1.3194787630628722</v>
      </c>
      <c r="T28" s="18">
        <f t="shared" si="1"/>
        <v>1.3458683383241292</v>
      </c>
      <c r="U28" s="18">
        <f t="shared" si="1"/>
        <v>1.372785705090612</v>
      </c>
      <c r="V28" s="18">
        <f t="shared" si="1"/>
        <v>1.4002414191924244</v>
      </c>
      <c r="W28" s="18">
        <f t="shared" si="1"/>
        <v>1.4282462475762727</v>
      </c>
      <c r="X28" s="18">
        <f t="shared" si="1"/>
        <v>1.4568111725277981</v>
      </c>
      <c r="Y28" s="18">
        <f t="shared" si="1"/>
        <v>1.4859473959783542</v>
      </c>
      <c r="Z28" s="18">
        <f t="shared" si="1"/>
        <v>1.5156663438979212</v>
      </c>
      <c r="AA28" s="18">
        <f t="shared" si="1"/>
        <v>1.5459796707758797</v>
      </c>
      <c r="AB28" s="18">
        <f t="shared" si="1"/>
        <v>1.576899264191397</v>
      </c>
      <c r="AC28" s="18">
        <f t="shared" si="1"/>
        <v>1.608437249475225</v>
      </c>
    </row>
    <row r="29" spans="1:29" x14ac:dyDescent="0.25">
      <c r="A29" s="9"/>
      <c r="B29" s="9" t="s">
        <v>7</v>
      </c>
      <c r="E29" s="18">
        <f t="shared" ref="E29:AC29" si="2">(1+$C$12)^(E24-1)</f>
        <v>1</v>
      </c>
      <c r="F29" s="18">
        <f t="shared" si="2"/>
        <v>1.0249999999999999</v>
      </c>
      <c r="G29" s="18">
        <f t="shared" si="2"/>
        <v>1.0506249999999999</v>
      </c>
      <c r="H29" s="18">
        <f t="shared" si="2"/>
        <v>1.0768906249999999</v>
      </c>
      <c r="I29" s="18">
        <f t="shared" si="2"/>
        <v>1.1038128906249998</v>
      </c>
      <c r="J29" s="18">
        <f t="shared" si="2"/>
        <v>1.1314082128906247</v>
      </c>
      <c r="K29" s="18">
        <f t="shared" si="2"/>
        <v>1.1596934182128902</v>
      </c>
      <c r="L29" s="18">
        <f t="shared" si="2"/>
        <v>1.1886857536682125</v>
      </c>
      <c r="M29" s="18">
        <f t="shared" si="2"/>
        <v>1.2184028975099177</v>
      </c>
      <c r="N29" s="18">
        <f t="shared" si="2"/>
        <v>1.2488629699476654</v>
      </c>
      <c r="O29" s="18">
        <f t="shared" si="2"/>
        <v>1.2800845441963571</v>
      </c>
      <c r="P29" s="18">
        <f t="shared" si="2"/>
        <v>1.312086657801266</v>
      </c>
      <c r="Q29" s="18">
        <f t="shared" si="2"/>
        <v>1.3448888242462975</v>
      </c>
      <c r="R29" s="18">
        <f t="shared" si="2"/>
        <v>1.3785110448524549</v>
      </c>
      <c r="S29" s="18">
        <f t="shared" si="2"/>
        <v>1.4129738209737661</v>
      </c>
      <c r="T29" s="18">
        <f t="shared" si="2"/>
        <v>1.4482981664981105</v>
      </c>
      <c r="U29" s="18">
        <f t="shared" si="2"/>
        <v>1.4845056206605631</v>
      </c>
      <c r="V29" s="18">
        <f t="shared" si="2"/>
        <v>1.521618261177077</v>
      </c>
      <c r="W29" s="18">
        <f t="shared" si="2"/>
        <v>1.559658717706504</v>
      </c>
      <c r="X29" s="18">
        <f t="shared" si="2"/>
        <v>1.5986501856491666</v>
      </c>
      <c r="Y29" s="18">
        <f t="shared" si="2"/>
        <v>1.6386164402903955</v>
      </c>
      <c r="Z29" s="18">
        <f t="shared" si="2"/>
        <v>1.6795818512976552</v>
      </c>
      <c r="AA29" s="18">
        <f t="shared" si="2"/>
        <v>1.7215713975800966</v>
      </c>
      <c r="AB29" s="18">
        <f t="shared" si="2"/>
        <v>1.7646106825195991</v>
      </c>
      <c r="AC29" s="18">
        <f t="shared" si="2"/>
        <v>1.8087259495825889</v>
      </c>
    </row>
    <row r="30" spans="1:29" x14ac:dyDescent="0.25">
      <c r="A30" s="9"/>
      <c r="B30" s="9"/>
    </row>
    <row r="31" spans="1:29" x14ac:dyDescent="0.25">
      <c r="A31" s="9"/>
      <c r="B31" s="9" t="s">
        <v>10</v>
      </c>
      <c r="E31" s="35">
        <f>$C$10*E28</f>
        <v>50</v>
      </c>
      <c r="F31" s="35">
        <f t="shared" ref="F31:AC31" si="3">$C$10*F28</f>
        <v>51</v>
      </c>
      <c r="G31" s="35">
        <f t="shared" si="3"/>
        <v>52.019999999999996</v>
      </c>
      <c r="H31" s="35">
        <f t="shared" si="3"/>
        <v>53.060399999999994</v>
      </c>
      <c r="I31" s="35">
        <f t="shared" si="3"/>
        <v>54.121608000000002</v>
      </c>
      <c r="J31" s="35">
        <f t="shared" si="3"/>
        <v>55.204040159999998</v>
      </c>
      <c r="K31" s="35">
        <f t="shared" si="3"/>
        <v>56.308120963200004</v>
      </c>
      <c r="L31" s="35">
        <f t="shared" si="3"/>
        <v>57.434283382463988</v>
      </c>
      <c r="M31" s="35">
        <f t="shared" si="3"/>
        <v>58.582969050113277</v>
      </c>
      <c r="N31" s="35">
        <f t="shared" si="3"/>
        <v>59.754628431115542</v>
      </c>
      <c r="O31" s="35">
        <f t="shared" si="3"/>
        <v>60.949720999737856</v>
      </c>
      <c r="P31" s="35">
        <f t="shared" si="3"/>
        <v>62.1687154197326</v>
      </c>
      <c r="Q31" s="35">
        <f t="shared" si="3"/>
        <v>63.412089728127263</v>
      </c>
      <c r="R31" s="35">
        <f t="shared" si="3"/>
        <v>64.680331522689798</v>
      </c>
      <c r="S31" s="35">
        <f t="shared" si="3"/>
        <v>65.973938153143607</v>
      </c>
      <c r="T31" s="35">
        <f t="shared" si="3"/>
        <v>67.293416916206468</v>
      </c>
      <c r="U31" s="35">
        <f t="shared" si="3"/>
        <v>68.639285254530606</v>
      </c>
      <c r="V31" s="35">
        <f t="shared" si="3"/>
        <v>70.012070959621227</v>
      </c>
      <c r="W31" s="35">
        <f t="shared" si="3"/>
        <v>71.412312378813638</v>
      </c>
      <c r="X31" s="35">
        <f t="shared" si="3"/>
        <v>72.840558626389907</v>
      </c>
      <c r="Y31" s="35">
        <f t="shared" si="3"/>
        <v>74.297369798917714</v>
      </c>
      <c r="Z31" s="35">
        <f t="shared" si="3"/>
        <v>75.783317194896057</v>
      </c>
      <c r="AA31" s="35">
        <f t="shared" si="3"/>
        <v>77.298983538793991</v>
      </c>
      <c r="AB31" s="35">
        <f t="shared" si="3"/>
        <v>78.844963209569855</v>
      </c>
      <c r="AC31" s="35">
        <f t="shared" si="3"/>
        <v>80.421862473761252</v>
      </c>
    </row>
    <row r="32" spans="1:29" x14ac:dyDescent="0.25">
      <c r="A32" s="9"/>
      <c r="B32" s="9"/>
    </row>
    <row r="33" spans="1:29" x14ac:dyDescent="0.25">
      <c r="A33" s="9"/>
      <c r="B33" s="9" t="s">
        <v>58</v>
      </c>
      <c r="E33" s="16">
        <f>E31*E26/$C$16</f>
        <v>35040</v>
      </c>
      <c r="F33" s="16">
        <f t="shared" ref="F33:AC33" si="4">F31*F26/$C$16</f>
        <v>35740.800000000003</v>
      </c>
      <c r="G33" s="16">
        <f t="shared" si="4"/>
        <v>36455.616000000002</v>
      </c>
      <c r="H33" s="16">
        <f t="shared" si="4"/>
        <v>37184.728319999995</v>
      </c>
      <c r="I33" s="16">
        <f t="shared" si="4"/>
        <v>37928.422886399996</v>
      </c>
      <c r="J33" s="16">
        <f t="shared" si="4"/>
        <v>38686.991344128</v>
      </c>
      <c r="K33" s="16">
        <f t="shared" si="4"/>
        <v>39460.731171010564</v>
      </c>
      <c r="L33" s="16">
        <f t="shared" si="4"/>
        <v>40249.945794430765</v>
      </c>
      <c r="M33" s="16">
        <f t="shared" si="4"/>
        <v>41054.944710319382</v>
      </c>
      <c r="N33" s="16">
        <f t="shared" si="4"/>
        <v>41876.043604525774</v>
      </c>
      <c r="O33" s="16">
        <f t="shared" si="4"/>
        <v>42713.564476616295</v>
      </c>
      <c r="P33" s="16">
        <f t="shared" si="4"/>
        <v>43567.835766148608</v>
      </c>
      <c r="Q33" s="16">
        <f t="shared" si="4"/>
        <v>44439.192481471582</v>
      </c>
      <c r="R33" s="16">
        <f t="shared" si="4"/>
        <v>45327.97633110101</v>
      </c>
      <c r="S33" s="16">
        <f t="shared" si="4"/>
        <v>46234.535857723044</v>
      </c>
      <c r="T33" s="16">
        <f t="shared" si="4"/>
        <v>47159.226574877495</v>
      </c>
      <c r="U33" s="16">
        <f t="shared" si="4"/>
        <v>48102.411106375046</v>
      </c>
      <c r="V33" s="16">
        <f t="shared" si="4"/>
        <v>49064.459328502555</v>
      </c>
      <c r="W33" s="16">
        <f t="shared" si="4"/>
        <v>50045.748515072599</v>
      </c>
      <c r="X33" s="16">
        <f t="shared" si="4"/>
        <v>51046.663485374047</v>
      </c>
      <c r="Y33" s="16">
        <f t="shared" si="4"/>
        <v>52067.596755081533</v>
      </c>
      <c r="Z33" s="16">
        <f t="shared" si="4"/>
        <v>53108.948690183155</v>
      </c>
      <c r="AA33" s="16">
        <f t="shared" si="4"/>
        <v>54171.12766398683</v>
      </c>
      <c r="AB33" s="16">
        <f t="shared" si="4"/>
        <v>55254.550217266551</v>
      </c>
      <c r="AC33" s="16">
        <f t="shared" si="4"/>
        <v>56359.641221611884</v>
      </c>
    </row>
    <row r="34" spans="1:29" x14ac:dyDescent="0.25">
      <c r="A34" s="9"/>
      <c r="B34" s="21" t="s">
        <v>59</v>
      </c>
      <c r="E34" s="16">
        <f>-$C$9*$C$7*E29</f>
        <v>-8000</v>
      </c>
      <c r="F34" s="16">
        <f t="shared" ref="F34:AC34" si="5">-$C$9*$C$7*F29</f>
        <v>-8200</v>
      </c>
      <c r="G34" s="16">
        <f t="shared" si="5"/>
        <v>-8405</v>
      </c>
      <c r="H34" s="16">
        <f t="shared" si="5"/>
        <v>-8615.1249999999982</v>
      </c>
      <c r="I34" s="16">
        <f t="shared" si="5"/>
        <v>-8830.5031249999975</v>
      </c>
      <c r="J34" s="16">
        <f t="shared" si="5"/>
        <v>-9051.2657031249964</v>
      </c>
      <c r="K34" s="16">
        <f t="shared" si="5"/>
        <v>-9277.5473457031221</v>
      </c>
      <c r="L34" s="16">
        <f t="shared" si="5"/>
        <v>-9509.4860293457004</v>
      </c>
      <c r="M34" s="16">
        <f t="shared" si="5"/>
        <v>-9747.2231800793415</v>
      </c>
      <c r="N34" s="16">
        <f t="shared" si="5"/>
        <v>-9990.9037595813243</v>
      </c>
      <c r="O34" s="16">
        <f t="shared" si="5"/>
        <v>-10240.676353570856</v>
      </c>
      <c r="P34" s="16">
        <f t="shared" si="5"/>
        <v>-10496.693262410128</v>
      </c>
      <c r="Q34" s="16">
        <f t="shared" si="5"/>
        <v>-10759.110593970379</v>
      </c>
      <c r="R34" s="16">
        <f t="shared" si="5"/>
        <v>-11028.088358819639</v>
      </c>
      <c r="S34" s="16">
        <f t="shared" si="5"/>
        <v>-11303.790567790129</v>
      </c>
      <c r="T34" s="16">
        <f t="shared" si="5"/>
        <v>-11586.385331984884</v>
      </c>
      <c r="U34" s="16">
        <f t="shared" si="5"/>
        <v>-11876.044965284505</v>
      </c>
      <c r="V34" s="16">
        <f t="shared" si="5"/>
        <v>-12172.946089416617</v>
      </c>
      <c r="W34" s="16">
        <f t="shared" si="5"/>
        <v>-12477.269741652031</v>
      </c>
      <c r="X34" s="16">
        <f t="shared" si="5"/>
        <v>-12789.201485193333</v>
      </c>
      <c r="Y34" s="16">
        <f t="shared" si="5"/>
        <v>-13108.931522323164</v>
      </c>
      <c r="Z34" s="16">
        <f t="shared" si="5"/>
        <v>-13436.654810381242</v>
      </c>
      <c r="AA34" s="16">
        <f t="shared" si="5"/>
        <v>-13772.571180640773</v>
      </c>
      <c r="AB34" s="16">
        <f t="shared" si="5"/>
        <v>-14116.885460156793</v>
      </c>
      <c r="AC34" s="16">
        <f t="shared" si="5"/>
        <v>-14469.807596660712</v>
      </c>
    </row>
    <row r="35" spans="1:29" x14ac:dyDescent="0.25">
      <c r="A35" s="9"/>
      <c r="B35" s="22" t="s">
        <v>11</v>
      </c>
      <c r="C35" s="8"/>
      <c r="D35" s="10"/>
      <c r="E35" s="36">
        <f>E33+E34</f>
        <v>27040</v>
      </c>
      <c r="F35" s="36">
        <f t="shared" ref="F35:AC35" si="6">F33+F34</f>
        <v>27540.800000000003</v>
      </c>
      <c r="G35" s="36">
        <f t="shared" si="6"/>
        <v>28050.616000000002</v>
      </c>
      <c r="H35" s="36">
        <f t="shared" si="6"/>
        <v>28569.603319999995</v>
      </c>
      <c r="I35" s="36">
        <f t="shared" si="6"/>
        <v>29097.9197614</v>
      </c>
      <c r="J35" s="36">
        <f t="shared" si="6"/>
        <v>29635.725641003002</v>
      </c>
      <c r="K35" s="36">
        <f t="shared" si="6"/>
        <v>30183.183825307442</v>
      </c>
      <c r="L35" s="36">
        <f t="shared" si="6"/>
        <v>30740.459765085063</v>
      </c>
      <c r="M35" s="36">
        <f t="shared" si="6"/>
        <v>31307.72153024004</v>
      </c>
      <c r="N35" s="36">
        <f t="shared" si="6"/>
        <v>31885.13984494445</v>
      </c>
      <c r="O35" s="36">
        <f t="shared" si="6"/>
        <v>32472.888123045439</v>
      </c>
      <c r="P35" s="36">
        <f t="shared" si="6"/>
        <v>33071.142503738476</v>
      </c>
      <c r="Q35" s="36">
        <f t="shared" si="6"/>
        <v>33680.081887501205</v>
      </c>
      <c r="R35" s="36">
        <f t="shared" si="6"/>
        <v>34299.887972281373</v>
      </c>
      <c r="S35" s="36">
        <f t="shared" si="6"/>
        <v>34930.745289932915</v>
      </c>
      <c r="T35" s="36">
        <f t="shared" si="6"/>
        <v>35572.841242892609</v>
      </c>
      <c r="U35" s="36">
        <f t="shared" si="6"/>
        <v>36226.366141090541</v>
      </c>
      <c r="V35" s="36">
        <f t="shared" si="6"/>
        <v>36891.513239085936</v>
      </c>
      <c r="W35" s="36">
        <f t="shared" si="6"/>
        <v>37568.478773420567</v>
      </c>
      <c r="X35" s="36">
        <f t="shared" si="6"/>
        <v>38257.462000180712</v>
      </c>
      <c r="Y35" s="36">
        <f t="shared" si="6"/>
        <v>38958.665232758372</v>
      </c>
      <c r="Z35" s="36">
        <f t="shared" si="6"/>
        <v>39672.293879801917</v>
      </c>
      <c r="AA35" s="36">
        <f t="shared" si="6"/>
        <v>40398.556483346059</v>
      </c>
      <c r="AB35" s="36">
        <f t="shared" si="6"/>
        <v>41137.664757109756</v>
      </c>
      <c r="AC35" s="36">
        <f t="shared" si="6"/>
        <v>41889.83362495117</v>
      </c>
    </row>
    <row r="36" spans="1:29" x14ac:dyDescent="0.25">
      <c r="A36" s="9"/>
      <c r="B36" s="9"/>
    </row>
    <row r="37" spans="1:29" x14ac:dyDescent="0.25">
      <c r="A37" s="9"/>
      <c r="B37" s="9" t="s">
        <v>60</v>
      </c>
      <c r="D37" s="16"/>
      <c r="E37" s="16">
        <f>E35</f>
        <v>27040</v>
      </c>
      <c r="F37" s="16">
        <f t="shared" ref="F37:AC37" si="7">F35</f>
        <v>27540.800000000003</v>
      </c>
      <c r="G37" s="16">
        <f t="shared" si="7"/>
        <v>28050.616000000002</v>
      </c>
      <c r="H37" s="16">
        <f t="shared" si="7"/>
        <v>28569.603319999995</v>
      </c>
      <c r="I37" s="16">
        <f t="shared" si="7"/>
        <v>29097.9197614</v>
      </c>
      <c r="J37" s="16">
        <f t="shared" si="7"/>
        <v>29635.725641003002</v>
      </c>
      <c r="K37" s="16">
        <f t="shared" si="7"/>
        <v>30183.183825307442</v>
      </c>
      <c r="L37" s="16">
        <f t="shared" si="7"/>
        <v>30740.459765085063</v>
      </c>
      <c r="M37" s="16">
        <f t="shared" si="7"/>
        <v>31307.72153024004</v>
      </c>
      <c r="N37" s="16">
        <f t="shared" si="7"/>
        <v>31885.13984494445</v>
      </c>
      <c r="O37" s="16">
        <f t="shared" si="7"/>
        <v>32472.888123045439</v>
      </c>
      <c r="P37" s="16">
        <f t="shared" si="7"/>
        <v>33071.142503738476</v>
      </c>
      <c r="Q37" s="16">
        <f t="shared" si="7"/>
        <v>33680.081887501205</v>
      </c>
      <c r="R37" s="16">
        <f t="shared" si="7"/>
        <v>34299.887972281373</v>
      </c>
      <c r="S37" s="16">
        <f t="shared" si="7"/>
        <v>34930.745289932915</v>
      </c>
      <c r="T37" s="16">
        <f t="shared" si="7"/>
        <v>35572.841242892609</v>
      </c>
      <c r="U37" s="16">
        <f t="shared" si="7"/>
        <v>36226.366141090541</v>
      </c>
      <c r="V37" s="16">
        <f t="shared" si="7"/>
        <v>36891.513239085936</v>
      </c>
      <c r="W37" s="16">
        <f t="shared" si="7"/>
        <v>37568.478773420567</v>
      </c>
      <c r="X37" s="16">
        <f t="shared" si="7"/>
        <v>38257.462000180712</v>
      </c>
      <c r="Y37" s="16">
        <f t="shared" si="7"/>
        <v>38958.665232758372</v>
      </c>
      <c r="Z37" s="16">
        <f t="shared" si="7"/>
        <v>39672.293879801917</v>
      </c>
      <c r="AA37" s="16">
        <f t="shared" si="7"/>
        <v>40398.556483346059</v>
      </c>
      <c r="AB37" s="16">
        <f t="shared" si="7"/>
        <v>41137.664757109756</v>
      </c>
      <c r="AC37" s="16">
        <f t="shared" si="7"/>
        <v>41889.83362495117</v>
      </c>
    </row>
    <row r="38" spans="1:29" x14ac:dyDescent="0.25">
      <c r="A38" s="9"/>
      <c r="B38" s="9" t="s">
        <v>85</v>
      </c>
      <c r="D38" s="16"/>
      <c r="E38" s="16">
        <f>'P-50'!E$37</f>
        <v>20800</v>
      </c>
      <c r="F38" s="16">
        <f>'P-50'!F$37</f>
        <v>21185.23076923077</v>
      </c>
      <c r="G38" s="16">
        <f>'P-50'!G$37</f>
        <v>21577.396923076925</v>
      </c>
      <c r="H38" s="16">
        <f>'P-50'!H$37</f>
        <v>21976.617938461535</v>
      </c>
      <c r="I38" s="16">
        <f>'P-50'!I$37</f>
        <v>22383.015201076923</v>
      </c>
      <c r="J38" s="16">
        <f>'P-50'!J$37</f>
        <v>22796.71203154077</v>
      </c>
      <c r="K38" s="16">
        <f>'P-50'!K$37</f>
        <v>23217.833711774954</v>
      </c>
      <c r="L38" s="16">
        <f>'P-50'!L$37</f>
        <v>23646.507511603893</v>
      </c>
      <c r="M38" s="16">
        <f>'P-50'!M$37</f>
        <v>24082.862715569259</v>
      </c>
      <c r="N38" s="16">
        <f>'P-50'!N$37</f>
        <v>24527.030649957269</v>
      </c>
      <c r="O38" s="16">
        <f>'P-50'!O$37</f>
        <v>24979.144710034951</v>
      </c>
      <c r="P38" s="16">
        <f>'P-50'!P$37</f>
        <v>25439.340387491135</v>
      </c>
      <c r="Q38" s="16">
        <f>'P-50'!Q$37</f>
        <v>25907.755298077849</v>
      </c>
      <c r="R38" s="16">
        <f>'P-50'!R$37</f>
        <v>26384.52920944721</v>
      </c>
      <c r="S38" s="16">
        <f>'P-50'!S$37</f>
        <v>26869.804069179165</v>
      </c>
      <c r="T38" s="16">
        <f>'P-50'!T$37</f>
        <v>27363.724032994312</v>
      </c>
      <c r="U38" s="16">
        <f>'P-50'!U$37</f>
        <v>27866.435493146568</v>
      </c>
      <c r="V38" s="16">
        <f>'P-50'!V$37</f>
        <v>28378.08710698918</v>
      </c>
      <c r="W38" s="16">
        <f>'P-50'!W$37</f>
        <v>28898.829825708126</v>
      </c>
      <c r="X38" s="16">
        <f>'P-50'!X$37</f>
        <v>29428.816923215931</v>
      </c>
      <c r="Y38" s="16">
        <f>'P-50'!Y$37</f>
        <v>29968.204025198746</v>
      </c>
      <c r="Z38" s="16">
        <f>'P-50'!Z$37</f>
        <v>30517.149138309167</v>
      </c>
      <c r="AA38" s="16">
        <f>'P-50'!AA$37</f>
        <v>31075.812679496968</v>
      </c>
      <c r="AB38" s="16">
        <f>'P-50'!AB$37</f>
        <v>31644.357505469041</v>
      </c>
      <c r="AC38" s="16">
        <f>'P-50'!AC$37</f>
        <v>32222.94894227013</v>
      </c>
    </row>
    <row r="39" spans="1:29" x14ac:dyDescent="0.25">
      <c r="A39" s="9"/>
      <c r="B39" s="9" t="s">
        <v>86</v>
      </c>
      <c r="D39" s="16"/>
      <c r="E39" s="16">
        <f>'P-99'!E$37</f>
        <v>18280</v>
      </c>
      <c r="F39" s="16">
        <f>'P-99'!F$37</f>
        <v>18605.599999999999</v>
      </c>
      <c r="G39" s="16">
        <f>'P-99'!G$37</f>
        <v>18936.711999999996</v>
      </c>
      <c r="H39" s="16">
        <f>'P-99'!H$37</f>
        <v>19273.421240000003</v>
      </c>
      <c r="I39" s="16">
        <f>'P-99'!I$37</f>
        <v>19615.814039800003</v>
      </c>
      <c r="J39" s="16">
        <f>'P-99'!J$37</f>
        <v>19963.977804971</v>
      </c>
      <c r="K39" s="16">
        <f>'P-99'!K$37</f>
        <v>20318.001032554799</v>
      </c>
      <c r="L39" s="16">
        <f>'P-99'!L$37</f>
        <v>20677.973316477372</v>
      </c>
      <c r="M39" s="16">
        <f>'P-99'!M$37</f>
        <v>21043.985352660198</v>
      </c>
      <c r="N39" s="16">
        <f>'P-99'!N$37</f>
        <v>21416.128943813004</v>
      </c>
      <c r="O39" s="16">
        <f>'P-99'!O$37</f>
        <v>21794.49700389136</v>
      </c>
      <c r="P39" s="16">
        <f>'P-99'!P$37</f>
        <v>22179.183562201328</v>
      </c>
      <c r="Q39" s="16">
        <f>'P-99'!Q$37</f>
        <v>22570.283767133311</v>
      </c>
      <c r="R39" s="16">
        <f>'P-99'!R$37</f>
        <v>22967.893889506122</v>
      </c>
      <c r="S39" s="16">
        <f>'P-99'!S$37</f>
        <v>23372.111325502148</v>
      </c>
      <c r="T39" s="16">
        <f>'P-99'!T$37</f>
        <v>23783.034599173232</v>
      </c>
      <c r="U39" s="16">
        <f>'P-99'!U$37</f>
        <v>24200.763364496779</v>
      </c>
      <c r="V39" s="16">
        <f>'P-99'!V$37</f>
        <v>24625.398406960296</v>
      </c>
      <c r="W39" s="16">
        <f>'P-99'!W$37</f>
        <v>25057.041644652418</v>
      </c>
      <c r="X39" s="16">
        <f>'P-99'!X$37</f>
        <v>25495.796128837195</v>
      </c>
      <c r="Y39" s="16">
        <f>'P-99'!Y$37</f>
        <v>25941.766043987987</v>
      </c>
      <c r="Z39" s="16">
        <f>'P-99'!Z$37</f>
        <v>26395.056707256121</v>
      </c>
      <c r="AA39" s="16">
        <f>'P-99'!AA$37</f>
        <v>26855.774567349355</v>
      </c>
      <c r="AB39" s="16">
        <f>'P-99'!AB$37</f>
        <v>27324.027202793121</v>
      </c>
      <c r="AC39" s="16">
        <f>'P-99'!AC$37</f>
        <v>27799.923319548201</v>
      </c>
    </row>
    <row r="40" spans="1:29" x14ac:dyDescent="0.25">
      <c r="A40" s="9"/>
      <c r="B40" s="22" t="s">
        <v>87</v>
      </c>
      <c r="C40" s="8"/>
      <c r="D40" s="36"/>
      <c r="E40" s="36">
        <f>MIN(E38:E39)</f>
        <v>18280</v>
      </c>
      <c r="F40" s="36">
        <f t="shared" ref="F40:AC40" si="8">MIN(F38:F39)</f>
        <v>18605.599999999999</v>
      </c>
      <c r="G40" s="36">
        <f t="shared" si="8"/>
        <v>18936.711999999996</v>
      </c>
      <c r="H40" s="36">
        <f t="shared" si="8"/>
        <v>19273.421240000003</v>
      </c>
      <c r="I40" s="36">
        <f t="shared" si="8"/>
        <v>19615.814039800003</v>
      </c>
      <c r="J40" s="36">
        <f t="shared" si="8"/>
        <v>19963.977804971</v>
      </c>
      <c r="K40" s="36">
        <f t="shared" si="8"/>
        <v>20318.001032554799</v>
      </c>
      <c r="L40" s="36">
        <f t="shared" si="8"/>
        <v>20677.973316477372</v>
      </c>
      <c r="M40" s="36">
        <f t="shared" si="8"/>
        <v>21043.985352660198</v>
      </c>
      <c r="N40" s="36">
        <f t="shared" si="8"/>
        <v>21416.128943813004</v>
      </c>
      <c r="O40" s="36">
        <f t="shared" si="8"/>
        <v>21794.49700389136</v>
      </c>
      <c r="P40" s="36">
        <f t="shared" si="8"/>
        <v>22179.183562201328</v>
      </c>
      <c r="Q40" s="36">
        <f t="shared" si="8"/>
        <v>22570.283767133311</v>
      </c>
      <c r="R40" s="36">
        <f t="shared" si="8"/>
        <v>22967.893889506122</v>
      </c>
      <c r="S40" s="36">
        <f t="shared" si="8"/>
        <v>23372.111325502148</v>
      </c>
      <c r="T40" s="36">
        <f t="shared" si="8"/>
        <v>23783.034599173232</v>
      </c>
      <c r="U40" s="36">
        <f t="shared" si="8"/>
        <v>24200.763364496779</v>
      </c>
      <c r="V40" s="36">
        <f t="shared" si="8"/>
        <v>24625.398406960296</v>
      </c>
      <c r="W40" s="36">
        <f t="shared" si="8"/>
        <v>25057.041644652418</v>
      </c>
      <c r="X40" s="36">
        <f t="shared" si="8"/>
        <v>25495.796128837195</v>
      </c>
      <c r="Y40" s="36">
        <f t="shared" si="8"/>
        <v>25941.766043987987</v>
      </c>
      <c r="Z40" s="36">
        <f t="shared" si="8"/>
        <v>26395.056707256121</v>
      </c>
      <c r="AA40" s="36">
        <f t="shared" si="8"/>
        <v>26855.774567349355</v>
      </c>
      <c r="AB40" s="36">
        <f t="shared" si="8"/>
        <v>27324.027202793121</v>
      </c>
      <c r="AC40" s="36">
        <f t="shared" si="8"/>
        <v>27799.923319548201</v>
      </c>
    </row>
    <row r="41" spans="1:29" x14ac:dyDescent="0.25">
      <c r="A41" s="9"/>
      <c r="B41" s="9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</row>
    <row r="42" spans="1:29" x14ac:dyDescent="0.25">
      <c r="A42" s="9"/>
      <c r="B42" s="9" t="s">
        <v>16</v>
      </c>
      <c r="D42" s="16"/>
      <c r="E42" s="16">
        <f>D45</f>
        <v>324116.71261894098</v>
      </c>
      <c r="F42" s="16">
        <f t="shared" ref="F42:AC42" si="9">E45</f>
        <v>320421.96468679333</v>
      </c>
      <c r="G42" s="16">
        <f t="shared" si="9"/>
        <v>316235.35309769906</v>
      </c>
      <c r="H42" s="16">
        <f t="shared" si="9"/>
        <v>311529.2319870955</v>
      </c>
      <c r="I42" s="16">
        <f t="shared" si="9"/>
        <v>306274.6261865148</v>
      </c>
      <c r="J42" s="16">
        <f t="shared" si="9"/>
        <v>300441.17032510799</v>
      </c>
      <c r="K42" s="16">
        <f t="shared" si="9"/>
        <v>293997.04518476687</v>
      </c>
      <c r="L42" s="16">
        <f t="shared" si="9"/>
        <v>286908.91118552658</v>
      </c>
      <c r="M42" s="16">
        <f t="shared" si="9"/>
        <v>279141.8388723979</v>
      </c>
      <c r="N42" s="16">
        <f t="shared" si="9"/>
        <v>270659.23626899562</v>
      </c>
      <c r="O42" s="16">
        <f t="shared" si="9"/>
        <v>261422.77295728741</v>
      </c>
      <c r="P42" s="16">
        <f t="shared" si="9"/>
        <v>251392.30073647399</v>
      </c>
      <c r="Q42" s="16">
        <f t="shared" si="9"/>
        <v>240525.77070741399</v>
      </c>
      <c r="R42" s="16">
        <f t="shared" si="9"/>
        <v>228779.14662211432</v>
      </c>
      <c r="S42" s="16">
        <f t="shared" si="9"/>
        <v>216106.31433060335</v>
      </c>
      <c r="T42" s="16">
        <f t="shared" si="9"/>
        <v>202458.98714997835</v>
      </c>
      <c r="U42" s="16">
        <f t="shared" si="9"/>
        <v>187786.60697255415</v>
      </c>
      <c r="V42" s="16">
        <f t="shared" si="9"/>
        <v>172036.24092182229</v>
      </c>
      <c r="W42" s="16">
        <f t="shared" si="9"/>
        <v>155152.47335634398</v>
      </c>
      <c r="X42" s="16">
        <f t="shared" si="9"/>
        <v>137077.29301272705</v>
      </c>
      <c r="Y42" s="16">
        <f t="shared" si="9"/>
        <v>117749.97506946257</v>
      </c>
      <c r="Z42" s="16">
        <f t="shared" si="9"/>
        <v>97106.9579036004</v>
      </c>
      <c r="AA42" s="16">
        <f t="shared" si="9"/>
        <v>75081.714302006294</v>
      </c>
      <c r="AB42" s="16">
        <f t="shared" si="9"/>
        <v>51604.616878247223</v>
      </c>
      <c r="AC42" s="16">
        <f t="shared" si="9"/>
        <v>26602.797434975226</v>
      </c>
    </row>
    <row r="43" spans="1:29" x14ac:dyDescent="0.25">
      <c r="A43" s="9"/>
      <c r="B43" s="21" t="s">
        <v>61</v>
      </c>
      <c r="D43" s="16"/>
      <c r="E43" s="16">
        <f>-$C$14*E42</f>
        <v>-14585.252067852343</v>
      </c>
      <c r="F43" s="16">
        <f t="shared" ref="F43:AC43" si="10">-$C$14*F42</f>
        <v>-14418.9884109057</v>
      </c>
      <c r="G43" s="16">
        <f t="shared" si="10"/>
        <v>-14230.590889396457</v>
      </c>
      <c r="H43" s="16">
        <f t="shared" si="10"/>
        <v>-14018.815439419297</v>
      </c>
      <c r="I43" s="16">
        <f t="shared" si="10"/>
        <v>-13782.358178393166</v>
      </c>
      <c r="J43" s="16">
        <f t="shared" si="10"/>
        <v>-13519.85266462986</v>
      </c>
      <c r="K43" s="16">
        <f t="shared" si="10"/>
        <v>-13229.867033314509</v>
      </c>
      <c r="L43" s="16">
        <f t="shared" si="10"/>
        <v>-12910.901003348696</v>
      </c>
      <c r="M43" s="16">
        <f t="shared" si="10"/>
        <v>-12561.382749257906</v>
      </c>
      <c r="N43" s="16">
        <f t="shared" si="10"/>
        <v>-12179.665632104803</v>
      </c>
      <c r="O43" s="16">
        <f t="shared" si="10"/>
        <v>-11764.024783077934</v>
      </c>
      <c r="P43" s="16">
        <f t="shared" si="10"/>
        <v>-11312.653533141329</v>
      </c>
      <c r="Q43" s="16">
        <f t="shared" si="10"/>
        <v>-10823.659681833629</v>
      </c>
      <c r="R43" s="16">
        <f t="shared" si="10"/>
        <v>-10295.061597995144</v>
      </c>
      <c r="S43" s="16">
        <f t="shared" si="10"/>
        <v>-9724.7841448771505</v>
      </c>
      <c r="T43" s="16">
        <f t="shared" si="10"/>
        <v>-9110.6544217490246</v>
      </c>
      <c r="U43" s="16">
        <f t="shared" si="10"/>
        <v>-8450.3973137649355</v>
      </c>
      <c r="V43" s="16">
        <f t="shared" si="10"/>
        <v>-7741.6308414820023</v>
      </c>
      <c r="W43" s="16">
        <f t="shared" si="10"/>
        <v>-6981.8613010354793</v>
      </c>
      <c r="X43" s="16">
        <f t="shared" si="10"/>
        <v>-6168.4781855727169</v>
      </c>
      <c r="Y43" s="16">
        <f t="shared" si="10"/>
        <v>-5298.7488781258153</v>
      </c>
      <c r="Z43" s="16">
        <f t="shared" si="10"/>
        <v>-4369.8131056620177</v>
      </c>
      <c r="AA43" s="16">
        <f t="shared" si="10"/>
        <v>-3378.6771435902833</v>
      </c>
      <c r="AB43" s="16">
        <f t="shared" si="10"/>
        <v>-2322.2077595211249</v>
      </c>
      <c r="AC43" s="16">
        <f t="shared" si="10"/>
        <v>-1197.1258845738851</v>
      </c>
    </row>
    <row r="44" spans="1:29" x14ac:dyDescent="0.25">
      <c r="A44" s="9"/>
      <c r="B44" s="21" t="s">
        <v>62</v>
      </c>
      <c r="D44" s="16"/>
      <c r="E44" s="16">
        <f>-E40-E43</f>
        <v>-3694.7479321476567</v>
      </c>
      <c r="F44" s="16">
        <f t="shared" ref="F44:AC44" si="11">-F40-F43</f>
        <v>-4186.6115890942983</v>
      </c>
      <c r="G44" s="16">
        <f t="shared" si="11"/>
        <v>-4706.1211106035389</v>
      </c>
      <c r="H44" s="16">
        <f t="shared" si="11"/>
        <v>-5254.6058005807063</v>
      </c>
      <c r="I44" s="16">
        <f t="shared" si="11"/>
        <v>-5833.4558614068374</v>
      </c>
      <c r="J44" s="16">
        <f t="shared" si="11"/>
        <v>-6444.1251403411406</v>
      </c>
      <c r="K44" s="16">
        <f t="shared" si="11"/>
        <v>-7088.13399924029</v>
      </c>
      <c r="L44" s="16">
        <f t="shared" si="11"/>
        <v>-7767.0723131286759</v>
      </c>
      <c r="M44" s="16">
        <f t="shared" si="11"/>
        <v>-8482.6026034022925</v>
      </c>
      <c r="N44" s="16">
        <f t="shared" si="11"/>
        <v>-9236.4633117082012</v>
      </c>
      <c r="O44" s="16">
        <f t="shared" si="11"/>
        <v>-10030.472220813426</v>
      </c>
      <c r="P44" s="16">
        <f t="shared" si="11"/>
        <v>-10866.530029059999</v>
      </c>
      <c r="Q44" s="16">
        <f t="shared" si="11"/>
        <v>-11746.624085299682</v>
      </c>
      <c r="R44" s="16">
        <f t="shared" si="11"/>
        <v>-12672.832291510978</v>
      </c>
      <c r="S44" s="16">
        <f t="shared" si="11"/>
        <v>-13647.327180624998</v>
      </c>
      <c r="T44" s="16">
        <f t="shared" si="11"/>
        <v>-14672.380177424207</v>
      </c>
      <c r="U44" s="16">
        <f t="shared" si="11"/>
        <v>-15750.366050731844</v>
      </c>
      <c r="V44" s="16">
        <f t="shared" si="11"/>
        <v>-16883.767565478294</v>
      </c>
      <c r="W44" s="16">
        <f t="shared" si="11"/>
        <v>-18075.180343616939</v>
      </c>
      <c r="X44" s="16">
        <f t="shared" si="11"/>
        <v>-19327.317943264479</v>
      </c>
      <c r="Y44" s="16">
        <f t="shared" si="11"/>
        <v>-20643.017165862173</v>
      </c>
      <c r="Z44" s="16">
        <f t="shared" si="11"/>
        <v>-22025.243601594102</v>
      </c>
      <c r="AA44" s="16">
        <f t="shared" si="11"/>
        <v>-23477.097423759071</v>
      </c>
      <c r="AB44" s="16">
        <f t="shared" si="11"/>
        <v>-25001.819443271997</v>
      </c>
      <c r="AC44" s="16">
        <f t="shared" si="11"/>
        <v>-26602.797434974316</v>
      </c>
    </row>
    <row r="45" spans="1:29" x14ac:dyDescent="0.25">
      <c r="A45" s="9"/>
      <c r="B45" s="9" t="s">
        <v>18</v>
      </c>
      <c r="D45" s="16">
        <f>NPV($C$14,E40:AC40)</f>
        <v>324116.71261894098</v>
      </c>
      <c r="E45" s="16">
        <f>E42+E44</f>
        <v>320421.96468679333</v>
      </c>
      <c r="F45" s="16">
        <f t="shared" ref="F45:AC45" si="12">F42+F44</f>
        <v>316235.35309769906</v>
      </c>
      <c r="G45" s="16">
        <f t="shared" si="12"/>
        <v>311529.2319870955</v>
      </c>
      <c r="H45" s="16">
        <f t="shared" si="12"/>
        <v>306274.6261865148</v>
      </c>
      <c r="I45" s="16">
        <f t="shared" si="12"/>
        <v>300441.17032510799</v>
      </c>
      <c r="J45" s="16">
        <f t="shared" si="12"/>
        <v>293997.04518476687</v>
      </c>
      <c r="K45" s="16">
        <f t="shared" si="12"/>
        <v>286908.91118552658</v>
      </c>
      <c r="L45" s="16">
        <f t="shared" si="12"/>
        <v>279141.8388723979</v>
      </c>
      <c r="M45" s="16">
        <f t="shared" si="12"/>
        <v>270659.23626899562</v>
      </c>
      <c r="N45" s="16">
        <f t="shared" si="12"/>
        <v>261422.77295728741</v>
      </c>
      <c r="O45" s="16">
        <f t="shared" si="12"/>
        <v>251392.30073647399</v>
      </c>
      <c r="P45" s="16">
        <f t="shared" si="12"/>
        <v>240525.77070741399</v>
      </c>
      <c r="Q45" s="16">
        <f t="shared" si="12"/>
        <v>228779.14662211432</v>
      </c>
      <c r="R45" s="16">
        <f t="shared" si="12"/>
        <v>216106.31433060335</v>
      </c>
      <c r="S45" s="16">
        <f t="shared" si="12"/>
        <v>202458.98714997835</v>
      </c>
      <c r="T45" s="16">
        <f t="shared" si="12"/>
        <v>187786.60697255415</v>
      </c>
      <c r="U45" s="16">
        <f t="shared" si="12"/>
        <v>172036.24092182229</v>
      </c>
      <c r="V45" s="16">
        <f t="shared" si="12"/>
        <v>155152.47335634398</v>
      </c>
      <c r="W45" s="16">
        <f t="shared" si="12"/>
        <v>137077.29301272705</v>
      </c>
      <c r="X45" s="16">
        <f t="shared" si="12"/>
        <v>117749.97506946257</v>
      </c>
      <c r="Y45" s="16">
        <f t="shared" si="12"/>
        <v>97106.9579036004</v>
      </c>
      <c r="Z45" s="16">
        <f t="shared" si="12"/>
        <v>75081.714302006294</v>
      </c>
      <c r="AA45" s="16">
        <f t="shared" si="12"/>
        <v>51604.616878247223</v>
      </c>
      <c r="AB45" s="16">
        <f t="shared" si="12"/>
        <v>26602.797434975226</v>
      </c>
      <c r="AC45" s="16">
        <f t="shared" si="12"/>
        <v>9.0949470177292824E-10</v>
      </c>
    </row>
    <row r="46" spans="1:29" x14ac:dyDescent="0.25">
      <c r="A46" s="9"/>
      <c r="B46" s="9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</row>
    <row r="47" spans="1:29" x14ac:dyDescent="0.25">
      <c r="A47" s="9"/>
      <c r="B47" s="9" t="s">
        <v>20</v>
      </c>
      <c r="D47" s="16"/>
      <c r="E47" s="16">
        <f>-(E43+E44)</f>
        <v>18280</v>
      </c>
      <c r="F47" s="16">
        <f t="shared" ref="F47:AC47" si="13">-(F43+F44)</f>
        <v>18605.599999999999</v>
      </c>
      <c r="G47" s="16">
        <f t="shared" si="13"/>
        <v>18936.711999999996</v>
      </c>
      <c r="H47" s="16">
        <f t="shared" si="13"/>
        <v>19273.421240000003</v>
      </c>
      <c r="I47" s="16">
        <f t="shared" si="13"/>
        <v>19615.814039800003</v>
      </c>
      <c r="J47" s="16">
        <f t="shared" si="13"/>
        <v>19963.977804971</v>
      </c>
      <c r="K47" s="16">
        <f t="shared" si="13"/>
        <v>20318.001032554799</v>
      </c>
      <c r="L47" s="16">
        <f t="shared" si="13"/>
        <v>20677.973316477372</v>
      </c>
      <c r="M47" s="16">
        <f t="shared" si="13"/>
        <v>21043.985352660198</v>
      </c>
      <c r="N47" s="16">
        <f t="shared" si="13"/>
        <v>21416.128943813004</v>
      </c>
      <c r="O47" s="16">
        <f t="shared" si="13"/>
        <v>21794.49700389136</v>
      </c>
      <c r="P47" s="16">
        <f t="shared" si="13"/>
        <v>22179.183562201328</v>
      </c>
      <c r="Q47" s="16">
        <f t="shared" si="13"/>
        <v>22570.283767133311</v>
      </c>
      <c r="R47" s="16">
        <f t="shared" si="13"/>
        <v>22967.893889506122</v>
      </c>
      <c r="S47" s="16">
        <f t="shared" si="13"/>
        <v>23372.111325502148</v>
      </c>
      <c r="T47" s="16">
        <f t="shared" si="13"/>
        <v>23783.034599173232</v>
      </c>
      <c r="U47" s="16">
        <f t="shared" si="13"/>
        <v>24200.763364496779</v>
      </c>
      <c r="V47" s="16">
        <f t="shared" si="13"/>
        <v>24625.398406960296</v>
      </c>
      <c r="W47" s="16">
        <f t="shared" si="13"/>
        <v>25057.041644652418</v>
      </c>
      <c r="X47" s="16">
        <f t="shared" si="13"/>
        <v>25495.796128837195</v>
      </c>
      <c r="Y47" s="16">
        <f t="shared" si="13"/>
        <v>25941.766043987987</v>
      </c>
      <c r="Z47" s="16">
        <f t="shared" si="13"/>
        <v>26395.056707256121</v>
      </c>
      <c r="AA47" s="16">
        <f t="shared" si="13"/>
        <v>26855.774567349355</v>
      </c>
      <c r="AB47" s="16">
        <f t="shared" si="13"/>
        <v>27324.027202793121</v>
      </c>
      <c r="AC47" s="16">
        <f t="shared" si="13"/>
        <v>27799.923319548201</v>
      </c>
    </row>
    <row r="48" spans="1:29" x14ac:dyDescent="0.25">
      <c r="A48" s="9"/>
      <c r="B48" s="9" t="s">
        <v>21</v>
      </c>
      <c r="E48" s="37">
        <f>E37/E47</f>
        <v>1.4792122538293218</v>
      </c>
      <c r="F48" s="37">
        <f t="shared" ref="F48:AC48" si="14">F37/F47</f>
        <v>1.4802425076321111</v>
      </c>
      <c r="G48" s="37">
        <f t="shared" si="14"/>
        <v>1.4812822838516004</v>
      </c>
      <c r="H48" s="37">
        <f t="shared" si="14"/>
        <v>1.4823317025161429</v>
      </c>
      <c r="I48" s="37">
        <f t="shared" si="14"/>
        <v>1.4833908856579205</v>
      </c>
      <c r="J48" s="37">
        <f t="shared" si="14"/>
        <v>1.4844599573549793</v>
      </c>
      <c r="K48" s="37">
        <f t="shared" si="14"/>
        <v>1.4855390437743368</v>
      </c>
      <c r="L48" s="37">
        <f t="shared" si="14"/>
        <v>1.4866282732161831</v>
      </c>
      <c r="M48" s="37">
        <f t="shared" si="14"/>
        <v>1.4877277761592049</v>
      </c>
      <c r="N48" s="37">
        <f t="shared" si="14"/>
        <v>1.4888376853070771</v>
      </c>
      <c r="O48" s="37">
        <f t="shared" si="14"/>
        <v>1.4899581356361413</v>
      </c>
      <c r="P48" s="37">
        <f t="shared" si="14"/>
        <v>1.4910892644443265</v>
      </c>
      <c r="Q48" s="37">
        <f t="shared" si="14"/>
        <v>1.4922312114013341</v>
      </c>
      <c r="R48" s="37">
        <f t="shared" si="14"/>
        <v>1.4933841186001282</v>
      </c>
      <c r="S48" s="37">
        <f t="shared" si="14"/>
        <v>1.4945481306097805</v>
      </c>
      <c r="T48" s="37">
        <f t="shared" si="14"/>
        <v>1.4957233945296966</v>
      </c>
      <c r="U48" s="37">
        <f t="shared" si="14"/>
        <v>1.4969100600452823</v>
      </c>
      <c r="V48" s="37">
        <f t="shared" si="14"/>
        <v>1.4981082794850806</v>
      </c>
      <c r="W48" s="37">
        <f t="shared" si="14"/>
        <v>1.4993182078794323</v>
      </c>
      <c r="X48" s="37">
        <f t="shared" si="14"/>
        <v>1.5005400030207077</v>
      </c>
      <c r="Y48" s="37">
        <f t="shared" si="14"/>
        <v>1.5017738255251536</v>
      </c>
      <c r="Z48" s="37">
        <f t="shared" si="14"/>
        <v>1.5030198388964182</v>
      </c>
      <c r="AA48" s="37">
        <f t="shared" si="14"/>
        <v>1.5042782095907863</v>
      </c>
      <c r="AB48" s="37">
        <f t="shared" si="14"/>
        <v>1.5055491070842066</v>
      </c>
      <c r="AC48" s="37">
        <f t="shared" si="14"/>
        <v>1.50683270394114</v>
      </c>
    </row>
    <row r="49" spans="1:29" x14ac:dyDescent="0.25">
      <c r="A49" s="9"/>
      <c r="B49" s="9"/>
    </row>
    <row r="50" spans="1:29" x14ac:dyDescent="0.25">
      <c r="A50" s="9"/>
      <c r="B50" s="9" t="s">
        <v>25</v>
      </c>
      <c r="D50" s="16">
        <f>-(C18-D45)</f>
        <v>-95883.287381059024</v>
      </c>
      <c r="E50" s="16">
        <f>E37-E47</f>
        <v>8760</v>
      </c>
      <c r="F50" s="16">
        <f t="shared" ref="F50:AC50" si="15">F37-F47</f>
        <v>8935.2000000000044</v>
      </c>
      <c r="G50" s="16">
        <f t="shared" si="15"/>
        <v>9113.9040000000059</v>
      </c>
      <c r="H50" s="16">
        <f t="shared" si="15"/>
        <v>9296.1820799999914</v>
      </c>
      <c r="I50" s="16">
        <f t="shared" si="15"/>
        <v>9482.1057215999972</v>
      </c>
      <c r="J50" s="16">
        <f t="shared" si="15"/>
        <v>9671.7478360320019</v>
      </c>
      <c r="K50" s="16">
        <f t="shared" si="15"/>
        <v>9865.1827927526429</v>
      </c>
      <c r="L50" s="16">
        <f t="shared" si="15"/>
        <v>10062.486448607691</v>
      </c>
      <c r="M50" s="16">
        <f t="shared" si="15"/>
        <v>10263.736177579842</v>
      </c>
      <c r="N50" s="16">
        <f t="shared" si="15"/>
        <v>10469.010901131445</v>
      </c>
      <c r="O50" s="16">
        <f t="shared" si="15"/>
        <v>10678.391119154079</v>
      </c>
      <c r="P50" s="16">
        <f t="shared" si="15"/>
        <v>10891.958941537148</v>
      </c>
      <c r="Q50" s="16">
        <f t="shared" si="15"/>
        <v>11109.798120367894</v>
      </c>
      <c r="R50" s="16">
        <f t="shared" si="15"/>
        <v>11331.994082775251</v>
      </c>
      <c r="S50" s="16">
        <f t="shared" si="15"/>
        <v>11558.633964430766</v>
      </c>
      <c r="T50" s="16">
        <f t="shared" si="15"/>
        <v>11789.806643719377</v>
      </c>
      <c r="U50" s="16">
        <f t="shared" si="15"/>
        <v>12025.602776593762</v>
      </c>
      <c r="V50" s="16">
        <f t="shared" si="15"/>
        <v>12266.114832125641</v>
      </c>
      <c r="W50" s="16">
        <f t="shared" si="15"/>
        <v>12511.43712876815</v>
      </c>
      <c r="X50" s="16">
        <f t="shared" si="15"/>
        <v>12761.665871343517</v>
      </c>
      <c r="Y50" s="16">
        <f t="shared" si="15"/>
        <v>13016.899188770385</v>
      </c>
      <c r="Z50" s="16">
        <f t="shared" si="15"/>
        <v>13277.237172545796</v>
      </c>
      <c r="AA50" s="16">
        <f t="shared" si="15"/>
        <v>13542.781915996704</v>
      </c>
      <c r="AB50" s="16">
        <f t="shared" si="15"/>
        <v>13813.637554316636</v>
      </c>
      <c r="AC50" s="16">
        <f t="shared" si="15"/>
        <v>14089.910305402969</v>
      </c>
    </row>
    <row r="51" spans="1:29" x14ac:dyDescent="0.25">
      <c r="A51" s="9"/>
      <c r="B51" s="21" t="s">
        <v>70</v>
      </c>
      <c r="D51" s="16">
        <f>SUM($D$50:D50)</f>
        <v>-95883.287381059024</v>
      </c>
      <c r="E51" s="16">
        <f>SUM($D$50:E50)</f>
        <v>-87123.287381059024</v>
      </c>
      <c r="F51" s="16">
        <f>SUM($D$50:F50)</f>
        <v>-78188.087381059013</v>
      </c>
      <c r="G51" s="16">
        <f>SUM($D$50:G50)</f>
        <v>-69074.183381059003</v>
      </c>
      <c r="H51" s="16">
        <f>SUM($D$50:H50)</f>
        <v>-59778.001301059012</v>
      </c>
      <c r="I51" s="16">
        <f>SUM($D$50:I50)</f>
        <v>-50295.895579459015</v>
      </c>
      <c r="J51" s="16">
        <f>SUM($D$50:J50)</f>
        <v>-40624.147743427013</v>
      </c>
      <c r="K51" s="16">
        <f>SUM($D$50:K50)</f>
        <v>-30758.96495067437</v>
      </c>
      <c r="L51" s="16">
        <f>SUM($D$50:L50)</f>
        <v>-20696.478502066679</v>
      </c>
      <c r="M51" s="16">
        <f>SUM($D$50:M50)</f>
        <v>-10432.742324486837</v>
      </c>
      <c r="N51" s="16">
        <f>SUM($D$50:N50)</f>
        <v>36.268576644608402</v>
      </c>
      <c r="O51" s="16">
        <f>SUM($D$50:O50)</f>
        <v>10714.659695798688</v>
      </c>
      <c r="P51" s="16">
        <f>SUM($D$50:P50)</f>
        <v>21606.618637335836</v>
      </c>
      <c r="Q51" s="16">
        <f>SUM($D$50:Q50)</f>
        <v>32716.41675770373</v>
      </c>
      <c r="R51" s="16">
        <f>SUM($D$50:R50)</f>
        <v>44048.41084047898</v>
      </c>
      <c r="S51" s="16">
        <f>SUM($D$50:S50)</f>
        <v>55607.044804909747</v>
      </c>
      <c r="T51" s="16">
        <f>SUM($D$50:T50)</f>
        <v>67396.851448629124</v>
      </c>
      <c r="U51" s="16">
        <f>SUM($D$50:U50)</f>
        <v>79422.454225222886</v>
      </c>
      <c r="V51" s="16">
        <f>SUM($D$50:V50)</f>
        <v>91688.569057348534</v>
      </c>
      <c r="W51" s="16">
        <f>SUM($D$50:W50)</f>
        <v>104200.00618611669</v>
      </c>
      <c r="X51" s="16">
        <f>SUM($D$50:X50)</f>
        <v>116961.67205746021</v>
      </c>
      <c r="Y51" s="16">
        <f>SUM($D$50:Y50)</f>
        <v>129978.5712462306</v>
      </c>
      <c r="Z51" s="16">
        <f>SUM($D$50:Z50)</f>
        <v>143255.8084187764</v>
      </c>
      <c r="AA51" s="16">
        <f>SUM($D$50:AA50)</f>
        <v>156798.59033477312</v>
      </c>
      <c r="AB51" s="16">
        <f>SUM($D$50:AB50)</f>
        <v>170612.22788908976</v>
      </c>
      <c r="AC51" s="16">
        <f>SUM($D$50:AC50)</f>
        <v>184702.13819449273</v>
      </c>
    </row>
    <row r="52" spans="1:29" x14ac:dyDescent="0.25">
      <c r="A52" s="9"/>
      <c r="B52" s="9" t="s">
        <v>71</v>
      </c>
      <c r="D52" s="16"/>
      <c r="E52" s="16" t="str">
        <f t="shared" ref="E52:AC52" si="16">IF(AND(D51&lt;0,E51&gt;=0),E24-E51/(ABS(D51)+E51),"")</f>
        <v/>
      </c>
      <c r="F52" s="16" t="str">
        <f t="shared" si="16"/>
        <v/>
      </c>
      <c r="G52" s="16" t="str">
        <f t="shared" si="16"/>
        <v/>
      </c>
      <c r="H52" s="16" t="str">
        <f t="shared" si="16"/>
        <v/>
      </c>
      <c r="I52" s="16" t="str">
        <f t="shared" si="16"/>
        <v/>
      </c>
      <c r="J52" s="16" t="str">
        <f t="shared" si="16"/>
        <v/>
      </c>
      <c r="K52" s="16" t="str">
        <f t="shared" si="16"/>
        <v/>
      </c>
      <c r="L52" s="16" t="str">
        <f t="shared" si="16"/>
        <v/>
      </c>
      <c r="M52" s="16" t="str">
        <f t="shared" si="16"/>
        <v/>
      </c>
      <c r="N52" s="18">
        <f t="shared" si="16"/>
        <v>9.9965356252861781</v>
      </c>
      <c r="O52" s="16" t="str">
        <f t="shared" si="16"/>
        <v/>
      </c>
      <c r="P52" s="16" t="str">
        <f t="shared" si="16"/>
        <v/>
      </c>
      <c r="Q52" s="16" t="str">
        <f t="shared" si="16"/>
        <v/>
      </c>
      <c r="R52" s="16" t="str">
        <f t="shared" si="16"/>
        <v/>
      </c>
      <c r="S52" s="16" t="str">
        <f t="shared" si="16"/>
        <v/>
      </c>
      <c r="T52" s="16" t="str">
        <f t="shared" si="16"/>
        <v/>
      </c>
      <c r="U52" s="16" t="str">
        <f t="shared" si="16"/>
        <v/>
      </c>
      <c r="V52" s="16" t="str">
        <f t="shared" si="16"/>
        <v/>
      </c>
      <c r="W52" s="16" t="str">
        <f t="shared" si="16"/>
        <v/>
      </c>
      <c r="X52" s="16" t="str">
        <f t="shared" si="16"/>
        <v/>
      </c>
      <c r="Y52" s="16" t="str">
        <f t="shared" si="16"/>
        <v/>
      </c>
      <c r="Z52" s="16" t="str">
        <f t="shared" si="16"/>
        <v/>
      </c>
      <c r="AA52" s="16" t="str">
        <f t="shared" si="16"/>
        <v/>
      </c>
      <c r="AB52" s="16" t="str">
        <f t="shared" si="16"/>
        <v/>
      </c>
      <c r="AC52" s="16" t="str">
        <f t="shared" si="16"/>
        <v/>
      </c>
    </row>
    <row r="53" spans="1:29" x14ac:dyDescent="0.25">
      <c r="A53" s="9"/>
      <c r="B53" s="9"/>
      <c r="D53" s="60">
        <v>-1</v>
      </c>
      <c r="E53" s="60">
        <f>IRR($D$50:E50)</f>
        <v>-0.90863892718669481</v>
      </c>
      <c r="F53" s="60">
        <f>IRR($D$50:F50)</f>
        <v>-0.64565296771803338</v>
      </c>
      <c r="G53" s="60">
        <f>IRR($D$50:G50)</f>
        <v>-0.43963487163318671</v>
      </c>
      <c r="H53" s="60">
        <f>IRR($D$50:H50)</f>
        <v>-0.29961640867962525</v>
      </c>
      <c r="I53" s="60">
        <f>IRR($D$50:I50)</f>
        <v>-0.20371206970017663</v>
      </c>
      <c r="J53" s="60">
        <f>IRR($D$50:J50)</f>
        <v>-0.13604092970399473</v>
      </c>
      <c r="K53" s="60">
        <f>IRR($D$50:K50)</f>
        <v>-8.6815183640489901E-2</v>
      </c>
      <c r="L53" s="60">
        <f>IRR($D$50:L50)</f>
        <v>-5.0025930857870327E-2</v>
      </c>
      <c r="M53" s="60">
        <f>IRR($D$50:M50)</f>
        <v>-2.188629416328558E-2</v>
      </c>
      <c r="N53" s="60">
        <f>IRR($D$50:N50)</f>
        <v>6.6784281122167499E-5</v>
      </c>
      <c r="O53" s="60">
        <f>IRR($D$50:O50)</f>
        <v>1.7484951791209902E-2</v>
      </c>
      <c r="P53" s="60">
        <f>IRR($D$50:P50)</f>
        <v>3.1506932474236971E-2</v>
      </c>
      <c r="Q53" s="60">
        <f>IRR($D$50:Q50)</f>
        <v>4.2937507285046195E-2</v>
      </c>
      <c r="R53" s="60">
        <f>IRR($D$50:R50)</f>
        <v>5.2358082843719789E-2</v>
      </c>
      <c r="S53" s="60">
        <f>IRR($D$50:S50)</f>
        <v>6.0196959897176994E-2</v>
      </c>
      <c r="T53" s="60">
        <f>IRR($D$50:T50)</f>
        <v>6.6775171183121262E-2</v>
      </c>
      <c r="U53" s="60">
        <f>IRR($D$50:U50)</f>
        <v>7.2337101960139982E-2</v>
      </c>
      <c r="V53" s="60">
        <f>IRR($D$50:V50)</f>
        <v>7.7071390936816364E-2</v>
      </c>
      <c r="W53" s="60">
        <f>IRR($D$50:W50)</f>
        <v>8.112547845945528E-2</v>
      </c>
      <c r="X53" s="60">
        <f>IRR($D$50:X50)</f>
        <v>8.4615914195674602E-2</v>
      </c>
      <c r="Y53" s="60">
        <f>IRR($D$50:Y50)</f>
        <v>8.7635779263526725E-2</v>
      </c>
      <c r="Z53" s="60">
        <f>IRR($D$50:Z50)</f>
        <v>9.0260109961465718E-2</v>
      </c>
      <c r="AA53" s="60">
        <f>IRR($D$50:AA50)</f>
        <v>9.2549914998549587E-2</v>
      </c>
      <c r="AB53" s="60">
        <f>IRR($D$50:AB50)</f>
        <v>9.4555188041008043E-2</v>
      </c>
      <c r="AC53" s="60">
        <f>IRR($D$50:AC50)</f>
        <v>9.6317192743022639E-2</v>
      </c>
    </row>
    <row r="54" spans="1:29" x14ac:dyDescent="0.25">
      <c r="A54" s="9"/>
      <c r="B54" s="9"/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59"/>
      <c r="R54" s="59"/>
      <c r="S54" s="59"/>
      <c r="T54" s="59"/>
      <c r="U54" s="59"/>
      <c r="V54" s="59"/>
      <c r="W54" s="59"/>
      <c r="X54" s="59"/>
      <c r="Y54" s="59"/>
      <c r="Z54" s="59"/>
      <c r="AA54" s="59"/>
      <c r="AB54" s="59"/>
      <c r="AC54" s="59"/>
    </row>
    <row r="55" spans="1:29" x14ac:dyDescent="0.25">
      <c r="A55" s="9"/>
      <c r="B55" s="38" t="s">
        <v>26</v>
      </c>
      <c r="C55" s="8"/>
      <c r="D55" s="39">
        <f>IRR(D50:AC50)</f>
        <v>9.6317192743022639E-2</v>
      </c>
      <c r="E55" s="40"/>
    </row>
    <row r="56" spans="1:29" x14ac:dyDescent="0.25">
      <c r="A56" s="9"/>
      <c r="B56" s="41" t="s">
        <v>27</v>
      </c>
      <c r="C56" s="29"/>
      <c r="D56" s="42">
        <f>MAX(E52:AC52)</f>
        <v>9.9965356252861781</v>
      </c>
      <c r="E56" s="48" t="s">
        <v>30</v>
      </c>
    </row>
    <row r="57" spans="1:29" x14ac:dyDescent="0.25">
      <c r="A57" s="9"/>
      <c r="B57" s="41" t="s">
        <v>29</v>
      </c>
      <c r="C57" s="29"/>
      <c r="D57" s="44">
        <f>-SUM(E50:AC50)/D50</f>
        <v>2.9263225452465984</v>
      </c>
      <c r="E57" s="48"/>
    </row>
    <row r="58" spans="1:29" x14ac:dyDescent="0.25">
      <c r="A58" s="9"/>
      <c r="B58" s="45" t="s">
        <v>28</v>
      </c>
      <c r="C58" s="11"/>
      <c r="D58" s="46">
        <f>-SUMPRODUCT(E44:AC44,E24:AC24)/D45</f>
        <v>16.755106562968606</v>
      </c>
      <c r="E58" s="49" t="s">
        <v>30</v>
      </c>
    </row>
    <row r="62" spans="1:29" outlineLevel="1" x14ac:dyDescent="0.25">
      <c r="B62" s="24" t="s">
        <v>83</v>
      </c>
    </row>
    <row r="63" spans="1:29" outlineLevel="1" x14ac:dyDescent="0.25">
      <c r="B63" s="21" t="s">
        <v>84</v>
      </c>
      <c r="E63" s="58">
        <f>-E43</f>
        <v>14585.252067852343</v>
      </c>
      <c r="F63" s="58">
        <f t="shared" ref="F63:AC63" si="17">-F43</f>
        <v>14418.9884109057</v>
      </c>
      <c r="G63" s="58">
        <f t="shared" si="17"/>
        <v>14230.590889396457</v>
      </c>
      <c r="H63" s="58">
        <f t="shared" si="17"/>
        <v>14018.815439419297</v>
      </c>
      <c r="I63" s="58">
        <f t="shared" si="17"/>
        <v>13782.358178393166</v>
      </c>
      <c r="J63" s="58">
        <f t="shared" si="17"/>
        <v>13519.85266462986</v>
      </c>
      <c r="K63" s="58">
        <f t="shared" si="17"/>
        <v>13229.867033314509</v>
      </c>
      <c r="L63" s="58">
        <f t="shared" si="17"/>
        <v>12910.901003348696</v>
      </c>
      <c r="M63" s="58">
        <f t="shared" si="17"/>
        <v>12561.382749257906</v>
      </c>
      <c r="N63" s="58">
        <f t="shared" si="17"/>
        <v>12179.665632104803</v>
      </c>
      <c r="O63" s="58">
        <f t="shared" si="17"/>
        <v>11764.024783077934</v>
      </c>
      <c r="P63" s="58">
        <f t="shared" si="17"/>
        <v>11312.653533141329</v>
      </c>
      <c r="Q63" s="58">
        <f t="shared" si="17"/>
        <v>10823.659681833629</v>
      </c>
      <c r="R63" s="58">
        <f t="shared" si="17"/>
        <v>10295.061597995144</v>
      </c>
      <c r="S63" s="58">
        <f t="shared" si="17"/>
        <v>9724.7841448771505</v>
      </c>
      <c r="T63" s="58">
        <f t="shared" si="17"/>
        <v>9110.6544217490246</v>
      </c>
      <c r="U63" s="58">
        <f t="shared" si="17"/>
        <v>8450.3973137649355</v>
      </c>
      <c r="V63" s="58">
        <f t="shared" si="17"/>
        <v>7741.6308414820023</v>
      </c>
      <c r="W63" s="58">
        <f t="shared" si="17"/>
        <v>6981.8613010354793</v>
      </c>
      <c r="X63" s="58">
        <f t="shared" si="17"/>
        <v>6168.4781855727169</v>
      </c>
      <c r="Y63" s="58">
        <f t="shared" si="17"/>
        <v>5298.7488781258153</v>
      </c>
      <c r="Z63" s="58">
        <f t="shared" si="17"/>
        <v>4369.8131056620177</v>
      </c>
      <c r="AA63" s="58">
        <f t="shared" si="17"/>
        <v>3378.6771435902833</v>
      </c>
      <c r="AB63" s="58">
        <f t="shared" si="17"/>
        <v>2322.2077595211249</v>
      </c>
      <c r="AC63" s="58">
        <f t="shared" si="17"/>
        <v>1197.1258845738851</v>
      </c>
    </row>
    <row r="64" spans="1:29" outlineLevel="1" x14ac:dyDescent="0.25">
      <c r="B64" s="21" t="s">
        <v>17</v>
      </c>
      <c r="E64" s="58">
        <f>-E44</f>
        <v>3694.7479321476567</v>
      </c>
      <c r="F64" s="58">
        <f t="shared" ref="F64:AC64" si="18">-F44</f>
        <v>4186.6115890942983</v>
      </c>
      <c r="G64" s="58">
        <f t="shared" si="18"/>
        <v>4706.1211106035389</v>
      </c>
      <c r="H64" s="58">
        <f t="shared" si="18"/>
        <v>5254.6058005807063</v>
      </c>
      <c r="I64" s="58">
        <f t="shared" si="18"/>
        <v>5833.4558614068374</v>
      </c>
      <c r="J64" s="58">
        <f t="shared" si="18"/>
        <v>6444.1251403411406</v>
      </c>
      <c r="K64" s="58">
        <f t="shared" si="18"/>
        <v>7088.13399924029</v>
      </c>
      <c r="L64" s="58">
        <f t="shared" si="18"/>
        <v>7767.0723131286759</v>
      </c>
      <c r="M64" s="58">
        <f t="shared" si="18"/>
        <v>8482.6026034022925</v>
      </c>
      <c r="N64" s="58">
        <f t="shared" si="18"/>
        <v>9236.4633117082012</v>
      </c>
      <c r="O64" s="58">
        <f t="shared" si="18"/>
        <v>10030.472220813426</v>
      </c>
      <c r="P64" s="58">
        <f t="shared" si="18"/>
        <v>10866.530029059999</v>
      </c>
      <c r="Q64" s="58">
        <f t="shared" si="18"/>
        <v>11746.624085299682</v>
      </c>
      <c r="R64" s="58">
        <f t="shared" si="18"/>
        <v>12672.832291510978</v>
      </c>
      <c r="S64" s="58">
        <f t="shared" si="18"/>
        <v>13647.327180624998</v>
      </c>
      <c r="T64" s="58">
        <f t="shared" si="18"/>
        <v>14672.380177424207</v>
      </c>
      <c r="U64" s="58">
        <f t="shared" si="18"/>
        <v>15750.366050731844</v>
      </c>
      <c r="V64" s="58">
        <f t="shared" si="18"/>
        <v>16883.767565478294</v>
      </c>
      <c r="W64" s="58">
        <f t="shared" si="18"/>
        <v>18075.180343616939</v>
      </c>
      <c r="X64" s="58">
        <f t="shared" si="18"/>
        <v>19327.317943264479</v>
      </c>
      <c r="Y64" s="58">
        <f t="shared" si="18"/>
        <v>20643.017165862173</v>
      </c>
      <c r="Z64" s="58">
        <f t="shared" si="18"/>
        <v>22025.243601594102</v>
      </c>
      <c r="AA64" s="58">
        <f t="shared" si="18"/>
        <v>23477.097423759071</v>
      </c>
      <c r="AB64" s="58">
        <f t="shared" si="18"/>
        <v>25001.819443271997</v>
      </c>
      <c r="AC64" s="58">
        <f t="shared" si="18"/>
        <v>26602.797434974316</v>
      </c>
    </row>
  </sheetData>
  <pageMargins left="0.45" right="0.45" top="0.75" bottom="0.75" header="0.3" footer="0.3"/>
  <pageSetup scale="68" fitToWidth="2" orientation="landscape" r:id="rId1"/>
  <ignoredErrors>
    <ignoredError sqref="D58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71"/>
  <sheetViews>
    <sheetView showGridLines="0" topLeftCell="A34" zoomScale="85" zoomScaleNormal="85" workbookViewId="0">
      <selection activeCell="D47" sqref="D47"/>
    </sheetView>
  </sheetViews>
  <sheetFormatPr defaultColWidth="9.109375" defaultRowHeight="13.8" x14ac:dyDescent="0.25"/>
  <cols>
    <col min="1" max="1" width="2.6640625" style="3" customWidth="1"/>
    <col min="2" max="2" width="30.6640625" style="4" customWidth="1"/>
    <col min="3" max="3" width="10.5546875" style="2" customWidth="1"/>
    <col min="4" max="29" width="10.33203125" style="3" customWidth="1"/>
    <col min="30" max="16384" width="9.109375" style="3"/>
  </cols>
  <sheetData>
    <row r="1" spans="1:29" ht="16.8" x14ac:dyDescent="0.3">
      <c r="A1" s="33" t="s">
        <v>64</v>
      </c>
    </row>
    <row r="2" spans="1:29" x14ac:dyDescent="0.25">
      <c r="A2" s="3" t="s">
        <v>72</v>
      </c>
    </row>
    <row r="4" spans="1:29" x14ac:dyDescent="0.25">
      <c r="A4" s="27"/>
      <c r="B4" s="27" t="s">
        <v>52</v>
      </c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</row>
    <row r="5" spans="1:29" customFormat="1" ht="14.4" x14ac:dyDescent="0.3"/>
    <row r="6" spans="1:29" x14ac:dyDescent="0.25">
      <c r="B6" s="12"/>
      <c r="C6" s="14"/>
      <c r="D6" s="15" t="s">
        <v>57</v>
      </c>
    </row>
    <row r="7" spans="1:29" ht="14.4" x14ac:dyDescent="0.3">
      <c r="B7" s="9" t="s">
        <v>0</v>
      </c>
      <c r="C7" s="16">
        <v>200</v>
      </c>
      <c r="D7" s="3" t="s">
        <v>2</v>
      </c>
      <c r="F7"/>
      <c r="G7"/>
      <c r="H7"/>
      <c r="I7"/>
      <c r="J7"/>
      <c r="K7"/>
      <c r="L7"/>
    </row>
    <row r="8" spans="1:29" ht="14.4" x14ac:dyDescent="0.3">
      <c r="B8" s="9" t="s">
        <v>8</v>
      </c>
      <c r="C8" s="56">
        <v>0.4</v>
      </c>
      <c r="D8" s="3" t="s">
        <v>50</v>
      </c>
      <c r="F8"/>
      <c r="G8"/>
      <c r="H8"/>
      <c r="I8"/>
      <c r="J8"/>
      <c r="K8"/>
      <c r="L8"/>
    </row>
    <row r="9" spans="1:29" ht="14.4" x14ac:dyDescent="0.3">
      <c r="B9" s="9" t="s">
        <v>1</v>
      </c>
      <c r="C9" s="35">
        <v>40</v>
      </c>
      <c r="D9" s="3" t="s">
        <v>3</v>
      </c>
      <c r="F9"/>
      <c r="G9"/>
      <c r="H9"/>
      <c r="I9"/>
      <c r="J9"/>
      <c r="K9"/>
      <c r="L9"/>
    </row>
    <row r="10" spans="1:29" x14ac:dyDescent="0.25">
      <c r="B10" s="9" t="s">
        <v>5</v>
      </c>
      <c r="C10" s="35">
        <v>50</v>
      </c>
      <c r="D10" s="3" t="s">
        <v>4</v>
      </c>
    </row>
    <row r="11" spans="1:29" x14ac:dyDescent="0.25">
      <c r="B11" s="9" t="s">
        <v>6</v>
      </c>
      <c r="C11" s="56">
        <v>0.02</v>
      </c>
      <c r="D11" s="3" t="s">
        <v>50</v>
      </c>
    </row>
    <row r="12" spans="1:29" x14ac:dyDescent="0.25">
      <c r="B12" s="9" t="s">
        <v>7</v>
      </c>
      <c r="C12" s="56">
        <v>2.5000000000000001E-2</v>
      </c>
      <c r="D12" s="3" t="s">
        <v>50</v>
      </c>
    </row>
    <row r="13" spans="1:29" x14ac:dyDescent="0.25">
      <c r="B13" s="9" t="s">
        <v>33</v>
      </c>
      <c r="C13" s="37">
        <v>1.3</v>
      </c>
      <c r="D13" s="3" t="s">
        <v>51</v>
      </c>
    </row>
    <row r="14" spans="1:29" x14ac:dyDescent="0.25">
      <c r="B14" s="9" t="s">
        <v>34</v>
      </c>
      <c r="C14" s="37">
        <v>1.2</v>
      </c>
      <c r="D14" s="3" t="s">
        <v>51</v>
      </c>
    </row>
    <row r="15" spans="1:29" x14ac:dyDescent="0.25">
      <c r="B15" s="9" t="s">
        <v>35</v>
      </c>
      <c r="C15" s="56">
        <v>4.4999999999999998E-2</v>
      </c>
      <c r="D15" s="3" t="s">
        <v>50</v>
      </c>
    </row>
    <row r="16" spans="1:29" x14ac:dyDescent="0.25">
      <c r="B16" s="9" t="s">
        <v>36</v>
      </c>
      <c r="C16" s="56">
        <v>6.5000000000000002E-2</v>
      </c>
      <c r="D16" s="3" t="s">
        <v>50</v>
      </c>
    </row>
    <row r="17" spans="1:29" x14ac:dyDescent="0.25">
      <c r="B17" s="9" t="s">
        <v>53</v>
      </c>
      <c r="C17" s="16">
        <v>8760</v>
      </c>
      <c r="D17" s="3" t="s">
        <v>55</v>
      </c>
    </row>
    <row r="18" spans="1:29" x14ac:dyDescent="0.25">
      <c r="B18" s="9" t="s">
        <v>54</v>
      </c>
      <c r="C18" s="16">
        <v>1000</v>
      </c>
      <c r="D18" s="3" t="s">
        <v>56</v>
      </c>
    </row>
    <row r="19" spans="1:29" x14ac:dyDescent="0.25">
      <c r="B19" s="9" t="s">
        <v>24</v>
      </c>
      <c r="C19" s="57">
        <v>2100</v>
      </c>
      <c r="D19" s="3" t="s">
        <v>23</v>
      </c>
    </row>
    <row r="20" spans="1:29" x14ac:dyDescent="0.25">
      <c r="B20" s="9" t="s">
        <v>22</v>
      </c>
      <c r="C20" s="16">
        <f>C19*C7</f>
        <v>420000</v>
      </c>
      <c r="D20" s="3" t="s">
        <v>69</v>
      </c>
    </row>
    <row r="22" spans="1:29" x14ac:dyDescent="0.25">
      <c r="A22" s="27"/>
      <c r="B22" s="27" t="s">
        <v>74</v>
      </c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</row>
    <row r="23" spans="1:29" customFormat="1" ht="14.4" x14ac:dyDescent="0.3"/>
    <row r="24" spans="1:29" customFormat="1" ht="14.4" x14ac:dyDescent="0.3">
      <c r="B24" s="30" t="s">
        <v>66</v>
      </c>
      <c r="C24" s="31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</row>
    <row r="25" spans="1:29" customFormat="1" ht="14.4" x14ac:dyDescent="0.3"/>
    <row r="26" spans="1:29" x14ac:dyDescent="0.25">
      <c r="B26" s="12" t="s">
        <v>49</v>
      </c>
      <c r="C26" s="11"/>
      <c r="D26" s="13">
        <v>0</v>
      </c>
      <c r="E26" s="13">
        <v>1</v>
      </c>
      <c r="F26" s="13">
        <v>2</v>
      </c>
      <c r="G26" s="13">
        <v>3</v>
      </c>
      <c r="H26" s="13">
        <v>4</v>
      </c>
      <c r="I26" s="13">
        <v>5</v>
      </c>
      <c r="J26" s="13">
        <v>6</v>
      </c>
      <c r="K26" s="13">
        <v>7</v>
      </c>
      <c r="L26" s="13">
        <v>8</v>
      </c>
      <c r="M26" s="13">
        <v>9</v>
      </c>
      <c r="N26" s="13">
        <v>10</v>
      </c>
      <c r="O26" s="13">
        <v>11</v>
      </c>
      <c r="P26" s="13">
        <v>12</v>
      </c>
      <c r="Q26" s="13">
        <v>13</v>
      </c>
      <c r="R26" s="13">
        <v>14</v>
      </c>
      <c r="S26" s="13">
        <v>15</v>
      </c>
      <c r="T26" s="13">
        <v>16</v>
      </c>
      <c r="U26" s="13">
        <v>17</v>
      </c>
      <c r="V26" s="13">
        <v>18</v>
      </c>
      <c r="W26" s="13">
        <v>19</v>
      </c>
      <c r="X26" s="13">
        <v>20</v>
      </c>
      <c r="Y26" s="13">
        <v>21</v>
      </c>
      <c r="Z26" s="13">
        <v>22</v>
      </c>
      <c r="AA26" s="13">
        <v>23</v>
      </c>
      <c r="AB26" s="13">
        <v>24</v>
      </c>
      <c r="AC26" s="13">
        <v>25</v>
      </c>
    </row>
    <row r="27" spans="1:29" x14ac:dyDescent="0.25">
      <c r="B27" s="9"/>
    </row>
    <row r="28" spans="1:29" x14ac:dyDescent="0.25">
      <c r="B28" s="9" t="s">
        <v>9</v>
      </c>
      <c r="E28" s="16">
        <f>$C$7*$C$8*$C$17</f>
        <v>700800</v>
      </c>
      <c r="F28" s="16">
        <f t="shared" ref="F28:AC28" si="0">$C$7*$C$8*$C$17</f>
        <v>700800</v>
      </c>
      <c r="G28" s="16">
        <f t="shared" si="0"/>
        <v>700800</v>
      </c>
      <c r="H28" s="16">
        <f t="shared" si="0"/>
        <v>700800</v>
      </c>
      <c r="I28" s="16">
        <f t="shared" si="0"/>
        <v>700800</v>
      </c>
      <c r="J28" s="16">
        <f t="shared" si="0"/>
        <v>700800</v>
      </c>
      <c r="K28" s="16">
        <f t="shared" si="0"/>
        <v>700800</v>
      </c>
      <c r="L28" s="16">
        <f t="shared" si="0"/>
        <v>700800</v>
      </c>
      <c r="M28" s="16">
        <f t="shared" si="0"/>
        <v>700800</v>
      </c>
      <c r="N28" s="16">
        <f t="shared" si="0"/>
        <v>700800</v>
      </c>
      <c r="O28" s="16">
        <f t="shared" si="0"/>
        <v>700800</v>
      </c>
      <c r="P28" s="16">
        <f t="shared" si="0"/>
        <v>700800</v>
      </c>
      <c r="Q28" s="16">
        <f t="shared" si="0"/>
        <v>700800</v>
      </c>
      <c r="R28" s="16">
        <f t="shared" si="0"/>
        <v>700800</v>
      </c>
      <c r="S28" s="16">
        <f t="shared" si="0"/>
        <v>700800</v>
      </c>
      <c r="T28" s="16">
        <f t="shared" si="0"/>
        <v>700800</v>
      </c>
      <c r="U28" s="16">
        <f t="shared" si="0"/>
        <v>700800</v>
      </c>
      <c r="V28" s="16">
        <f t="shared" si="0"/>
        <v>700800</v>
      </c>
      <c r="W28" s="16">
        <f t="shared" si="0"/>
        <v>700800</v>
      </c>
      <c r="X28" s="16">
        <f t="shared" si="0"/>
        <v>700800</v>
      </c>
      <c r="Y28" s="16">
        <f t="shared" si="0"/>
        <v>700800</v>
      </c>
      <c r="Z28" s="16">
        <f t="shared" si="0"/>
        <v>700800</v>
      </c>
      <c r="AA28" s="16">
        <f t="shared" si="0"/>
        <v>700800</v>
      </c>
      <c r="AB28" s="16">
        <f t="shared" si="0"/>
        <v>700800</v>
      </c>
      <c r="AC28" s="16">
        <f t="shared" si="0"/>
        <v>700800</v>
      </c>
    </row>
    <row r="29" spans="1:29" x14ac:dyDescent="0.25">
      <c r="B29" s="9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</row>
    <row r="30" spans="1:29" x14ac:dyDescent="0.25">
      <c r="B30" s="9" t="s">
        <v>12</v>
      </c>
      <c r="E30" s="18">
        <f t="shared" ref="E30:AC30" si="1">(1+$C$11)^(E26-1)</f>
        <v>1</v>
      </c>
      <c r="F30" s="18">
        <f t="shared" si="1"/>
        <v>1.02</v>
      </c>
      <c r="G30" s="18">
        <f t="shared" si="1"/>
        <v>1.0404</v>
      </c>
      <c r="H30" s="18">
        <f t="shared" si="1"/>
        <v>1.0612079999999999</v>
      </c>
      <c r="I30" s="18">
        <f t="shared" si="1"/>
        <v>1.08243216</v>
      </c>
      <c r="J30" s="18">
        <f t="shared" si="1"/>
        <v>1.1040808032</v>
      </c>
      <c r="K30" s="18">
        <f t="shared" si="1"/>
        <v>1.1261624192640001</v>
      </c>
      <c r="L30" s="18">
        <f t="shared" si="1"/>
        <v>1.1486856676492798</v>
      </c>
      <c r="M30" s="18">
        <f t="shared" si="1"/>
        <v>1.1716593810022655</v>
      </c>
      <c r="N30" s="18">
        <f t="shared" si="1"/>
        <v>1.1950925686223108</v>
      </c>
      <c r="O30" s="18">
        <f t="shared" si="1"/>
        <v>1.2189944199947571</v>
      </c>
      <c r="P30" s="18">
        <f t="shared" si="1"/>
        <v>1.243374308394652</v>
      </c>
      <c r="Q30" s="18">
        <f t="shared" si="1"/>
        <v>1.2682417945625453</v>
      </c>
      <c r="R30" s="18">
        <f t="shared" si="1"/>
        <v>1.2936066304537961</v>
      </c>
      <c r="S30" s="18">
        <f t="shared" si="1"/>
        <v>1.3194787630628722</v>
      </c>
      <c r="T30" s="18">
        <f t="shared" si="1"/>
        <v>1.3458683383241292</v>
      </c>
      <c r="U30" s="18">
        <f t="shared" si="1"/>
        <v>1.372785705090612</v>
      </c>
      <c r="V30" s="18">
        <f t="shared" si="1"/>
        <v>1.4002414191924244</v>
      </c>
      <c r="W30" s="18">
        <f t="shared" si="1"/>
        <v>1.4282462475762727</v>
      </c>
      <c r="X30" s="18">
        <f t="shared" si="1"/>
        <v>1.4568111725277981</v>
      </c>
      <c r="Y30" s="18">
        <f t="shared" si="1"/>
        <v>1.4859473959783542</v>
      </c>
      <c r="Z30" s="18">
        <f t="shared" si="1"/>
        <v>1.5156663438979212</v>
      </c>
      <c r="AA30" s="18">
        <f t="shared" si="1"/>
        <v>1.5459796707758797</v>
      </c>
      <c r="AB30" s="18">
        <f t="shared" si="1"/>
        <v>1.576899264191397</v>
      </c>
      <c r="AC30" s="18">
        <f t="shared" si="1"/>
        <v>1.608437249475225</v>
      </c>
    </row>
    <row r="31" spans="1:29" x14ac:dyDescent="0.25">
      <c r="B31" s="9" t="s">
        <v>7</v>
      </c>
      <c r="E31" s="18">
        <f t="shared" ref="E31:AC31" si="2">(1+$C$12)^(E26-1)</f>
        <v>1</v>
      </c>
      <c r="F31" s="18">
        <f t="shared" si="2"/>
        <v>1.0249999999999999</v>
      </c>
      <c r="G31" s="18">
        <f t="shared" si="2"/>
        <v>1.0506249999999999</v>
      </c>
      <c r="H31" s="18">
        <f t="shared" si="2"/>
        <v>1.0768906249999999</v>
      </c>
      <c r="I31" s="18">
        <f t="shared" si="2"/>
        <v>1.1038128906249998</v>
      </c>
      <c r="J31" s="18">
        <f t="shared" si="2"/>
        <v>1.1314082128906247</v>
      </c>
      <c r="K31" s="18">
        <f t="shared" si="2"/>
        <v>1.1596934182128902</v>
      </c>
      <c r="L31" s="18">
        <f t="shared" si="2"/>
        <v>1.1886857536682125</v>
      </c>
      <c r="M31" s="18">
        <f t="shared" si="2"/>
        <v>1.2184028975099177</v>
      </c>
      <c r="N31" s="18">
        <f t="shared" si="2"/>
        <v>1.2488629699476654</v>
      </c>
      <c r="O31" s="18">
        <f t="shared" si="2"/>
        <v>1.2800845441963571</v>
      </c>
      <c r="P31" s="18">
        <f t="shared" si="2"/>
        <v>1.312086657801266</v>
      </c>
      <c r="Q31" s="18">
        <f t="shared" si="2"/>
        <v>1.3448888242462975</v>
      </c>
      <c r="R31" s="18">
        <f t="shared" si="2"/>
        <v>1.3785110448524549</v>
      </c>
      <c r="S31" s="18">
        <f t="shared" si="2"/>
        <v>1.4129738209737661</v>
      </c>
      <c r="T31" s="18">
        <f t="shared" si="2"/>
        <v>1.4482981664981105</v>
      </c>
      <c r="U31" s="18">
        <f t="shared" si="2"/>
        <v>1.4845056206605631</v>
      </c>
      <c r="V31" s="18">
        <f t="shared" si="2"/>
        <v>1.521618261177077</v>
      </c>
      <c r="W31" s="18">
        <f t="shared" si="2"/>
        <v>1.559658717706504</v>
      </c>
      <c r="X31" s="18">
        <f t="shared" si="2"/>
        <v>1.5986501856491666</v>
      </c>
      <c r="Y31" s="18">
        <f t="shared" si="2"/>
        <v>1.6386164402903955</v>
      </c>
      <c r="Z31" s="18">
        <f t="shared" si="2"/>
        <v>1.6795818512976552</v>
      </c>
      <c r="AA31" s="18">
        <f t="shared" si="2"/>
        <v>1.7215713975800966</v>
      </c>
      <c r="AB31" s="18">
        <f t="shared" si="2"/>
        <v>1.7646106825195991</v>
      </c>
      <c r="AC31" s="18">
        <f t="shared" si="2"/>
        <v>1.8087259495825889</v>
      </c>
    </row>
    <row r="32" spans="1:29" x14ac:dyDescent="0.25">
      <c r="B32" s="9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</row>
    <row r="33" spans="1:29" x14ac:dyDescent="0.25">
      <c r="B33" s="9" t="s">
        <v>10</v>
      </c>
      <c r="E33" s="50">
        <f>$C$10*E30</f>
        <v>50</v>
      </c>
      <c r="F33" s="50">
        <f t="shared" ref="F33:AC33" si="3">$C$10*F30</f>
        <v>51</v>
      </c>
      <c r="G33" s="50">
        <f t="shared" si="3"/>
        <v>52.019999999999996</v>
      </c>
      <c r="H33" s="50">
        <f t="shared" si="3"/>
        <v>53.060399999999994</v>
      </c>
      <c r="I33" s="50">
        <f t="shared" si="3"/>
        <v>54.121608000000002</v>
      </c>
      <c r="J33" s="50">
        <f t="shared" si="3"/>
        <v>55.204040159999998</v>
      </c>
      <c r="K33" s="50">
        <f t="shared" si="3"/>
        <v>56.308120963200004</v>
      </c>
      <c r="L33" s="50">
        <f t="shared" si="3"/>
        <v>57.434283382463988</v>
      </c>
      <c r="M33" s="50">
        <f t="shared" si="3"/>
        <v>58.582969050113277</v>
      </c>
      <c r="N33" s="50">
        <f t="shared" si="3"/>
        <v>59.754628431115542</v>
      </c>
      <c r="O33" s="50">
        <f t="shared" si="3"/>
        <v>60.949720999737856</v>
      </c>
      <c r="P33" s="50">
        <f t="shared" si="3"/>
        <v>62.1687154197326</v>
      </c>
      <c r="Q33" s="50">
        <f t="shared" si="3"/>
        <v>63.412089728127263</v>
      </c>
      <c r="R33" s="50">
        <f t="shared" si="3"/>
        <v>64.680331522689798</v>
      </c>
      <c r="S33" s="50">
        <f t="shared" si="3"/>
        <v>65.973938153143607</v>
      </c>
      <c r="T33" s="50">
        <f t="shared" si="3"/>
        <v>67.293416916206468</v>
      </c>
      <c r="U33" s="50">
        <f t="shared" si="3"/>
        <v>68.639285254530606</v>
      </c>
      <c r="V33" s="50">
        <f t="shared" si="3"/>
        <v>70.012070959621227</v>
      </c>
      <c r="W33" s="50">
        <f t="shared" si="3"/>
        <v>71.412312378813638</v>
      </c>
      <c r="X33" s="50">
        <f t="shared" si="3"/>
        <v>72.840558626389907</v>
      </c>
      <c r="Y33" s="50">
        <f t="shared" si="3"/>
        <v>74.297369798917714</v>
      </c>
      <c r="Z33" s="50">
        <f t="shared" si="3"/>
        <v>75.783317194896057</v>
      </c>
      <c r="AA33" s="50">
        <f t="shared" si="3"/>
        <v>77.298983538793991</v>
      </c>
      <c r="AB33" s="50">
        <f t="shared" si="3"/>
        <v>78.844963209569855</v>
      </c>
      <c r="AC33" s="50">
        <f t="shared" si="3"/>
        <v>80.421862473761252</v>
      </c>
    </row>
    <row r="34" spans="1:29" x14ac:dyDescent="0.25">
      <c r="B34" s="9"/>
    </row>
    <row r="35" spans="1:29" x14ac:dyDescent="0.25">
      <c r="B35" s="9" t="s">
        <v>58</v>
      </c>
      <c r="D35" s="16"/>
      <c r="E35" s="16">
        <f>E33*E28/$C$18</f>
        <v>35040</v>
      </c>
      <c r="F35" s="16">
        <f t="shared" ref="F35:AC35" si="4">F33*F28/$C$18</f>
        <v>35740.800000000003</v>
      </c>
      <c r="G35" s="16">
        <f t="shared" si="4"/>
        <v>36455.616000000002</v>
      </c>
      <c r="H35" s="16">
        <f t="shared" si="4"/>
        <v>37184.728319999995</v>
      </c>
      <c r="I35" s="16">
        <f t="shared" si="4"/>
        <v>37928.422886399996</v>
      </c>
      <c r="J35" s="16">
        <f t="shared" si="4"/>
        <v>38686.991344128</v>
      </c>
      <c r="K35" s="16">
        <f t="shared" si="4"/>
        <v>39460.731171010564</v>
      </c>
      <c r="L35" s="16">
        <f t="shared" si="4"/>
        <v>40249.945794430765</v>
      </c>
      <c r="M35" s="16">
        <f t="shared" si="4"/>
        <v>41054.944710319382</v>
      </c>
      <c r="N35" s="16">
        <f t="shared" si="4"/>
        <v>41876.043604525774</v>
      </c>
      <c r="O35" s="16">
        <f t="shared" si="4"/>
        <v>42713.564476616295</v>
      </c>
      <c r="P35" s="16">
        <f t="shared" si="4"/>
        <v>43567.835766148608</v>
      </c>
      <c r="Q35" s="16">
        <f t="shared" si="4"/>
        <v>44439.192481471582</v>
      </c>
      <c r="R35" s="16">
        <f t="shared" si="4"/>
        <v>45327.97633110101</v>
      </c>
      <c r="S35" s="16">
        <f t="shared" si="4"/>
        <v>46234.535857723044</v>
      </c>
      <c r="T35" s="16">
        <f t="shared" si="4"/>
        <v>47159.226574877495</v>
      </c>
      <c r="U35" s="16">
        <f t="shared" si="4"/>
        <v>48102.411106375046</v>
      </c>
      <c r="V35" s="16">
        <f t="shared" si="4"/>
        <v>49064.459328502555</v>
      </c>
      <c r="W35" s="16">
        <f t="shared" si="4"/>
        <v>50045.748515072599</v>
      </c>
      <c r="X35" s="16">
        <f t="shared" si="4"/>
        <v>51046.663485374047</v>
      </c>
      <c r="Y35" s="16">
        <f t="shared" si="4"/>
        <v>52067.596755081533</v>
      </c>
      <c r="Z35" s="16">
        <f t="shared" si="4"/>
        <v>53108.948690183155</v>
      </c>
      <c r="AA35" s="16">
        <f t="shared" si="4"/>
        <v>54171.12766398683</v>
      </c>
      <c r="AB35" s="16">
        <f t="shared" si="4"/>
        <v>55254.550217266551</v>
      </c>
      <c r="AC35" s="16">
        <f t="shared" si="4"/>
        <v>56359.641221611884</v>
      </c>
    </row>
    <row r="36" spans="1:29" x14ac:dyDescent="0.25">
      <c r="B36" s="21" t="s">
        <v>59</v>
      </c>
      <c r="D36" s="16"/>
      <c r="E36" s="16">
        <f>-$C$9*$C$7*E31</f>
        <v>-8000</v>
      </c>
      <c r="F36" s="16">
        <f t="shared" ref="F36:AC36" si="5">-$C$9*$C$7*F31</f>
        <v>-8200</v>
      </c>
      <c r="G36" s="16">
        <f t="shared" si="5"/>
        <v>-8405</v>
      </c>
      <c r="H36" s="16">
        <f t="shared" si="5"/>
        <v>-8615.1249999999982</v>
      </c>
      <c r="I36" s="16">
        <f t="shared" si="5"/>
        <v>-8830.5031249999975</v>
      </c>
      <c r="J36" s="16">
        <f t="shared" si="5"/>
        <v>-9051.2657031249964</v>
      </c>
      <c r="K36" s="16">
        <f t="shared" si="5"/>
        <v>-9277.5473457031221</v>
      </c>
      <c r="L36" s="16">
        <f t="shared" si="5"/>
        <v>-9509.4860293457004</v>
      </c>
      <c r="M36" s="16">
        <f t="shared" si="5"/>
        <v>-9747.2231800793415</v>
      </c>
      <c r="N36" s="16">
        <f t="shared" si="5"/>
        <v>-9990.9037595813243</v>
      </c>
      <c r="O36" s="16">
        <f t="shared" si="5"/>
        <v>-10240.676353570856</v>
      </c>
      <c r="P36" s="16">
        <f t="shared" si="5"/>
        <v>-10496.693262410128</v>
      </c>
      <c r="Q36" s="16">
        <f t="shared" si="5"/>
        <v>-10759.110593970379</v>
      </c>
      <c r="R36" s="16">
        <f t="shared" si="5"/>
        <v>-11028.088358819639</v>
      </c>
      <c r="S36" s="16">
        <f t="shared" si="5"/>
        <v>-11303.790567790129</v>
      </c>
      <c r="T36" s="16">
        <f t="shared" si="5"/>
        <v>-11586.385331984884</v>
      </c>
      <c r="U36" s="16">
        <f t="shared" si="5"/>
        <v>-11876.044965284505</v>
      </c>
      <c r="V36" s="16">
        <f t="shared" si="5"/>
        <v>-12172.946089416617</v>
      </c>
      <c r="W36" s="16">
        <f t="shared" si="5"/>
        <v>-12477.269741652031</v>
      </c>
      <c r="X36" s="16">
        <f t="shared" si="5"/>
        <v>-12789.201485193333</v>
      </c>
      <c r="Y36" s="16">
        <f t="shared" si="5"/>
        <v>-13108.931522323164</v>
      </c>
      <c r="Z36" s="16">
        <f t="shared" si="5"/>
        <v>-13436.654810381242</v>
      </c>
      <c r="AA36" s="16">
        <f t="shared" si="5"/>
        <v>-13772.571180640773</v>
      </c>
      <c r="AB36" s="16">
        <f t="shared" si="5"/>
        <v>-14116.885460156793</v>
      </c>
      <c r="AC36" s="16">
        <f t="shared" si="5"/>
        <v>-14469.807596660712</v>
      </c>
    </row>
    <row r="37" spans="1:29" x14ac:dyDescent="0.25">
      <c r="B37" s="22" t="s">
        <v>11</v>
      </c>
      <c r="C37" s="8"/>
      <c r="D37" s="36"/>
      <c r="E37" s="36">
        <f>E35+E36</f>
        <v>27040</v>
      </c>
      <c r="F37" s="36">
        <f t="shared" ref="F37:AC37" si="6">F35+F36</f>
        <v>27540.800000000003</v>
      </c>
      <c r="G37" s="36">
        <f t="shared" si="6"/>
        <v>28050.616000000002</v>
      </c>
      <c r="H37" s="36">
        <f t="shared" si="6"/>
        <v>28569.603319999995</v>
      </c>
      <c r="I37" s="36">
        <f t="shared" si="6"/>
        <v>29097.9197614</v>
      </c>
      <c r="J37" s="36">
        <f t="shared" si="6"/>
        <v>29635.725641003002</v>
      </c>
      <c r="K37" s="36">
        <f t="shared" si="6"/>
        <v>30183.183825307442</v>
      </c>
      <c r="L37" s="36">
        <f t="shared" si="6"/>
        <v>30740.459765085063</v>
      </c>
      <c r="M37" s="36">
        <f t="shared" si="6"/>
        <v>31307.72153024004</v>
      </c>
      <c r="N37" s="36">
        <f t="shared" si="6"/>
        <v>31885.13984494445</v>
      </c>
      <c r="O37" s="36">
        <f t="shared" si="6"/>
        <v>32472.888123045439</v>
      </c>
      <c r="P37" s="36">
        <f t="shared" si="6"/>
        <v>33071.142503738476</v>
      </c>
      <c r="Q37" s="36">
        <f t="shared" si="6"/>
        <v>33680.081887501205</v>
      </c>
      <c r="R37" s="36">
        <f t="shared" si="6"/>
        <v>34299.887972281373</v>
      </c>
      <c r="S37" s="36">
        <f t="shared" si="6"/>
        <v>34930.745289932915</v>
      </c>
      <c r="T37" s="36">
        <f t="shared" si="6"/>
        <v>35572.841242892609</v>
      </c>
      <c r="U37" s="36">
        <f t="shared" si="6"/>
        <v>36226.366141090541</v>
      </c>
      <c r="V37" s="36">
        <f t="shared" si="6"/>
        <v>36891.513239085936</v>
      </c>
      <c r="W37" s="36">
        <f t="shared" si="6"/>
        <v>37568.478773420567</v>
      </c>
      <c r="X37" s="36">
        <f t="shared" si="6"/>
        <v>38257.462000180712</v>
      </c>
      <c r="Y37" s="36">
        <f t="shared" si="6"/>
        <v>38958.665232758372</v>
      </c>
      <c r="Z37" s="36">
        <f t="shared" si="6"/>
        <v>39672.293879801917</v>
      </c>
      <c r="AA37" s="36">
        <f t="shared" si="6"/>
        <v>40398.556483346059</v>
      </c>
      <c r="AB37" s="36">
        <f t="shared" si="6"/>
        <v>41137.664757109756</v>
      </c>
      <c r="AC37" s="36">
        <f t="shared" si="6"/>
        <v>41889.83362495117</v>
      </c>
    </row>
    <row r="38" spans="1:29" x14ac:dyDescent="0.25">
      <c r="B38" s="9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</row>
    <row r="39" spans="1:29" x14ac:dyDescent="0.25">
      <c r="B39" s="9" t="s">
        <v>60</v>
      </c>
      <c r="D39" s="16"/>
      <c r="E39" s="16">
        <f>E37</f>
        <v>27040</v>
      </c>
      <c r="F39" s="16">
        <f t="shared" ref="F39:AC39" si="7">F37</f>
        <v>27540.800000000003</v>
      </c>
      <c r="G39" s="16">
        <f t="shared" si="7"/>
        <v>28050.616000000002</v>
      </c>
      <c r="H39" s="16">
        <f t="shared" si="7"/>
        <v>28569.603319999995</v>
      </c>
      <c r="I39" s="16">
        <f t="shared" si="7"/>
        <v>29097.9197614</v>
      </c>
      <c r="J39" s="16">
        <f t="shared" si="7"/>
        <v>29635.725641003002</v>
      </c>
      <c r="K39" s="16">
        <f t="shared" si="7"/>
        <v>30183.183825307442</v>
      </c>
      <c r="L39" s="16">
        <f t="shared" si="7"/>
        <v>30740.459765085063</v>
      </c>
      <c r="M39" s="16">
        <f t="shared" si="7"/>
        <v>31307.72153024004</v>
      </c>
      <c r="N39" s="16">
        <f t="shared" si="7"/>
        <v>31885.13984494445</v>
      </c>
      <c r="O39" s="16">
        <f t="shared" si="7"/>
        <v>32472.888123045439</v>
      </c>
      <c r="P39" s="16">
        <f t="shared" si="7"/>
        <v>33071.142503738476</v>
      </c>
      <c r="Q39" s="16">
        <f t="shared" si="7"/>
        <v>33680.081887501205</v>
      </c>
      <c r="R39" s="16">
        <f t="shared" si="7"/>
        <v>34299.887972281373</v>
      </c>
      <c r="S39" s="16">
        <f t="shared" si="7"/>
        <v>34930.745289932915</v>
      </c>
      <c r="T39" s="16">
        <f t="shared" si="7"/>
        <v>35572.841242892609</v>
      </c>
      <c r="U39" s="16">
        <f t="shared" si="7"/>
        <v>36226.366141090541</v>
      </c>
      <c r="V39" s="16">
        <f t="shared" si="7"/>
        <v>36891.513239085936</v>
      </c>
      <c r="W39" s="16">
        <f t="shared" si="7"/>
        <v>37568.478773420567</v>
      </c>
      <c r="X39" s="16">
        <f t="shared" si="7"/>
        <v>38257.462000180712</v>
      </c>
      <c r="Y39" s="16">
        <f t="shared" si="7"/>
        <v>38958.665232758372</v>
      </c>
      <c r="Z39" s="16">
        <f t="shared" si="7"/>
        <v>39672.293879801917</v>
      </c>
      <c r="AA39" s="16">
        <f t="shared" si="7"/>
        <v>40398.556483346059</v>
      </c>
      <c r="AB39" s="16">
        <f t="shared" si="7"/>
        <v>41137.664757109756</v>
      </c>
      <c r="AC39" s="16">
        <f t="shared" si="7"/>
        <v>41889.83362495117</v>
      </c>
    </row>
    <row r="40" spans="1:29" x14ac:dyDescent="0.25">
      <c r="A40" s="9"/>
      <c r="B40" s="9" t="s">
        <v>85</v>
      </c>
      <c r="D40" s="16"/>
      <c r="E40" s="16">
        <f>'P-50'!E$37</f>
        <v>20800</v>
      </c>
      <c r="F40" s="16">
        <f>'P-50'!F$37</f>
        <v>21185.23076923077</v>
      </c>
      <c r="G40" s="16">
        <f>'P-50'!G$37</f>
        <v>21577.396923076925</v>
      </c>
      <c r="H40" s="16">
        <f>'P-50'!H$37</f>
        <v>21976.617938461535</v>
      </c>
      <c r="I40" s="16">
        <f>'P-50'!I$37</f>
        <v>22383.015201076923</v>
      </c>
      <c r="J40" s="16">
        <f>'P-50'!J$37</f>
        <v>22796.71203154077</v>
      </c>
      <c r="K40" s="16">
        <f>'P-50'!K$37</f>
        <v>23217.833711774954</v>
      </c>
      <c r="L40" s="16">
        <f>'P-50'!L$37</f>
        <v>23646.507511603893</v>
      </c>
      <c r="M40" s="16">
        <f>'P-50'!M$37</f>
        <v>24082.862715569259</v>
      </c>
      <c r="N40" s="16">
        <f>'P-50'!N$37</f>
        <v>24527.030649957269</v>
      </c>
      <c r="O40" s="16">
        <f>'P-50'!O$37</f>
        <v>24979.144710034951</v>
      </c>
      <c r="P40" s="16">
        <f>'P-50'!P$37</f>
        <v>25439.340387491135</v>
      </c>
      <c r="Q40" s="16">
        <f>'P-50'!Q$37</f>
        <v>25907.755298077849</v>
      </c>
      <c r="R40" s="16">
        <f>'P-50'!R$37</f>
        <v>26384.52920944721</v>
      </c>
      <c r="S40" s="16">
        <f>'P-50'!S$37</f>
        <v>26869.804069179165</v>
      </c>
      <c r="T40" s="16">
        <f>'P-50'!T$37</f>
        <v>27363.724032994312</v>
      </c>
      <c r="U40" s="16">
        <f>'P-50'!U$37</f>
        <v>27866.435493146568</v>
      </c>
      <c r="V40" s="16">
        <f>'P-50'!V$37</f>
        <v>28378.08710698918</v>
      </c>
      <c r="W40" s="16">
        <f>'P-50'!W$37</f>
        <v>28898.829825708126</v>
      </c>
      <c r="X40" s="16">
        <f>'P-50'!X$37</f>
        <v>29428.816923215931</v>
      </c>
      <c r="Y40" s="16">
        <f>'P-50'!Y$37</f>
        <v>29968.204025198746</v>
      </c>
      <c r="Z40" s="16">
        <f>'P-50'!Z$37</f>
        <v>30517.149138309167</v>
      </c>
      <c r="AA40" s="16">
        <f>'P-50'!AA$37</f>
        <v>31075.812679496968</v>
      </c>
      <c r="AB40" s="16">
        <f>'P-50'!AB$37</f>
        <v>31644.357505469041</v>
      </c>
      <c r="AC40" s="16">
        <f>'P-50'!AC$37</f>
        <v>32222.94894227013</v>
      </c>
    </row>
    <row r="41" spans="1:29" x14ac:dyDescent="0.25">
      <c r="A41" s="9"/>
      <c r="B41" s="9" t="s">
        <v>86</v>
      </c>
      <c r="D41" s="16"/>
      <c r="E41" s="16">
        <f>'P-99'!E$37</f>
        <v>18280</v>
      </c>
      <c r="F41" s="16">
        <f>'P-99'!F$37</f>
        <v>18605.599999999999</v>
      </c>
      <c r="G41" s="16">
        <f>'P-99'!G$37</f>
        <v>18936.711999999996</v>
      </c>
      <c r="H41" s="16">
        <f>'P-99'!H$37</f>
        <v>19273.421240000003</v>
      </c>
      <c r="I41" s="16">
        <f>'P-99'!I$37</f>
        <v>19615.814039800003</v>
      </c>
      <c r="J41" s="16">
        <f>'P-99'!J$37</f>
        <v>19963.977804971</v>
      </c>
      <c r="K41" s="16">
        <f>'P-99'!K$37</f>
        <v>20318.001032554799</v>
      </c>
      <c r="L41" s="16">
        <f>'P-99'!L$37</f>
        <v>20677.973316477372</v>
      </c>
      <c r="M41" s="16">
        <f>'P-99'!M$37</f>
        <v>21043.985352660198</v>
      </c>
      <c r="N41" s="16">
        <f>'P-99'!N$37</f>
        <v>21416.128943813004</v>
      </c>
      <c r="O41" s="16">
        <f>'P-99'!O$37</f>
        <v>21794.49700389136</v>
      </c>
      <c r="P41" s="16">
        <f>'P-99'!P$37</f>
        <v>22179.183562201328</v>
      </c>
      <c r="Q41" s="16">
        <f>'P-99'!Q$37</f>
        <v>22570.283767133311</v>
      </c>
      <c r="R41" s="16">
        <f>'P-99'!R$37</f>
        <v>22967.893889506122</v>
      </c>
      <c r="S41" s="16">
        <f>'P-99'!S$37</f>
        <v>23372.111325502148</v>
      </c>
      <c r="T41" s="16">
        <f>'P-99'!T$37</f>
        <v>23783.034599173232</v>
      </c>
      <c r="U41" s="16">
        <f>'P-99'!U$37</f>
        <v>24200.763364496779</v>
      </c>
      <c r="V41" s="16">
        <f>'P-99'!V$37</f>
        <v>24625.398406960296</v>
      </c>
      <c r="W41" s="16">
        <f>'P-99'!W$37</f>
        <v>25057.041644652418</v>
      </c>
      <c r="X41" s="16">
        <f>'P-99'!X$37</f>
        <v>25495.796128837195</v>
      </c>
      <c r="Y41" s="16">
        <f>'P-99'!Y$37</f>
        <v>25941.766043987987</v>
      </c>
      <c r="Z41" s="16">
        <f>'P-99'!Z$37</f>
        <v>26395.056707256121</v>
      </c>
      <c r="AA41" s="16">
        <f>'P-99'!AA$37</f>
        <v>26855.774567349355</v>
      </c>
      <c r="AB41" s="16">
        <f>'P-99'!AB$37</f>
        <v>27324.027202793121</v>
      </c>
      <c r="AC41" s="16">
        <f>'P-99'!AC$37</f>
        <v>27799.923319548201</v>
      </c>
    </row>
    <row r="42" spans="1:29" x14ac:dyDescent="0.25">
      <c r="A42" s="9"/>
      <c r="B42" s="22" t="s">
        <v>87</v>
      </c>
      <c r="C42" s="8"/>
      <c r="D42" s="36"/>
      <c r="E42" s="36">
        <f>MIN(E40:E41)</f>
        <v>18280</v>
      </c>
      <c r="F42" s="36">
        <f t="shared" ref="F42:AC42" si="8">MIN(F40:F41)</f>
        <v>18605.599999999999</v>
      </c>
      <c r="G42" s="36">
        <f t="shared" si="8"/>
        <v>18936.711999999996</v>
      </c>
      <c r="H42" s="36">
        <f t="shared" si="8"/>
        <v>19273.421240000003</v>
      </c>
      <c r="I42" s="36">
        <f t="shared" si="8"/>
        <v>19615.814039800003</v>
      </c>
      <c r="J42" s="36">
        <f t="shared" si="8"/>
        <v>19963.977804971</v>
      </c>
      <c r="K42" s="36">
        <f t="shared" si="8"/>
        <v>20318.001032554799</v>
      </c>
      <c r="L42" s="36">
        <f t="shared" si="8"/>
        <v>20677.973316477372</v>
      </c>
      <c r="M42" s="36">
        <f t="shared" si="8"/>
        <v>21043.985352660198</v>
      </c>
      <c r="N42" s="36">
        <f t="shared" si="8"/>
        <v>21416.128943813004</v>
      </c>
      <c r="O42" s="36">
        <f t="shared" si="8"/>
        <v>21794.49700389136</v>
      </c>
      <c r="P42" s="36">
        <f t="shared" si="8"/>
        <v>22179.183562201328</v>
      </c>
      <c r="Q42" s="36">
        <f t="shared" si="8"/>
        <v>22570.283767133311</v>
      </c>
      <c r="R42" s="36">
        <f t="shared" si="8"/>
        <v>22967.893889506122</v>
      </c>
      <c r="S42" s="36">
        <f t="shared" si="8"/>
        <v>23372.111325502148</v>
      </c>
      <c r="T42" s="36">
        <f t="shared" si="8"/>
        <v>23783.034599173232</v>
      </c>
      <c r="U42" s="36">
        <f t="shared" si="8"/>
        <v>24200.763364496779</v>
      </c>
      <c r="V42" s="36">
        <f t="shared" si="8"/>
        <v>24625.398406960296</v>
      </c>
      <c r="W42" s="36">
        <f t="shared" si="8"/>
        <v>25057.041644652418</v>
      </c>
      <c r="X42" s="36">
        <f t="shared" si="8"/>
        <v>25495.796128837195</v>
      </c>
      <c r="Y42" s="36">
        <f t="shared" si="8"/>
        <v>25941.766043987987</v>
      </c>
      <c r="Z42" s="36">
        <f t="shared" si="8"/>
        <v>26395.056707256121</v>
      </c>
      <c r="AA42" s="36">
        <f t="shared" si="8"/>
        <v>26855.774567349355</v>
      </c>
      <c r="AB42" s="36">
        <f t="shared" si="8"/>
        <v>27324.027202793121</v>
      </c>
      <c r="AC42" s="36">
        <f t="shared" si="8"/>
        <v>27799.923319548201</v>
      </c>
    </row>
    <row r="43" spans="1:29" x14ac:dyDescent="0.25">
      <c r="B43" s="9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</row>
    <row r="44" spans="1:29" x14ac:dyDescent="0.25">
      <c r="B44" s="9" t="s">
        <v>16</v>
      </c>
      <c r="D44" s="16"/>
      <c r="E44" s="16">
        <f>D47</f>
        <v>324116.71261894098</v>
      </c>
      <c r="F44" s="16">
        <f t="shared" ref="F44:AC44" si="9">E47</f>
        <v>320421.96468679333</v>
      </c>
      <c r="G44" s="16">
        <f t="shared" si="9"/>
        <v>316235.35309769906</v>
      </c>
      <c r="H44" s="16">
        <f t="shared" si="9"/>
        <v>311529.2319870955</v>
      </c>
      <c r="I44" s="16">
        <f t="shared" si="9"/>
        <v>306274.6261865148</v>
      </c>
      <c r="J44" s="16">
        <f t="shared" si="9"/>
        <v>300441.17032510799</v>
      </c>
      <c r="K44" s="16">
        <f t="shared" si="9"/>
        <v>293997.04518476687</v>
      </c>
      <c r="L44" s="16">
        <f t="shared" si="9"/>
        <v>286908.91118552658</v>
      </c>
      <c r="M44" s="16">
        <f t="shared" si="9"/>
        <v>279141.8388723979</v>
      </c>
      <c r="N44" s="16">
        <f t="shared" si="9"/>
        <v>270659.23626899562</v>
      </c>
      <c r="O44" s="16">
        <f t="shared" si="9"/>
        <v>261422.77295728741</v>
      </c>
      <c r="P44" s="16">
        <f t="shared" si="9"/>
        <v>251392.30073647399</v>
      </c>
      <c r="Q44" s="16">
        <f t="shared" si="9"/>
        <v>240525.77070741399</v>
      </c>
      <c r="R44" s="16">
        <f t="shared" si="9"/>
        <v>228779.14662211432</v>
      </c>
      <c r="S44" s="16">
        <f t="shared" si="9"/>
        <v>216106.31433060335</v>
      </c>
      <c r="T44" s="16">
        <f t="shared" si="9"/>
        <v>202458.98714997835</v>
      </c>
      <c r="U44" s="16">
        <f t="shared" si="9"/>
        <v>187786.60697255415</v>
      </c>
      <c r="V44" s="16">
        <f t="shared" si="9"/>
        <v>172036.24092182229</v>
      </c>
      <c r="W44" s="16">
        <f t="shared" si="9"/>
        <v>155152.47335634398</v>
      </c>
      <c r="X44" s="16">
        <f t="shared" si="9"/>
        <v>137077.29301272705</v>
      </c>
      <c r="Y44" s="16">
        <f t="shared" si="9"/>
        <v>117749.97506946257</v>
      </c>
      <c r="Z44" s="16">
        <f t="shared" si="9"/>
        <v>97106.9579036004</v>
      </c>
      <c r="AA44" s="16">
        <f t="shared" si="9"/>
        <v>75081.714302006294</v>
      </c>
      <c r="AB44" s="16">
        <f t="shared" si="9"/>
        <v>51604.616878247223</v>
      </c>
      <c r="AC44" s="16">
        <f t="shared" si="9"/>
        <v>26602.797434975226</v>
      </c>
    </row>
    <row r="45" spans="1:29" x14ac:dyDescent="0.25">
      <c r="B45" s="21" t="s">
        <v>61</v>
      </c>
      <c r="D45" s="16"/>
      <c r="E45" s="16">
        <f>-$C$15*E44</f>
        <v>-14585.252067852343</v>
      </c>
      <c r="F45" s="16">
        <f t="shared" ref="F45:AC45" si="10">-$C$15*F44</f>
        <v>-14418.9884109057</v>
      </c>
      <c r="G45" s="16">
        <f t="shared" si="10"/>
        <v>-14230.590889396457</v>
      </c>
      <c r="H45" s="16">
        <f t="shared" si="10"/>
        <v>-14018.815439419297</v>
      </c>
      <c r="I45" s="16">
        <f t="shared" si="10"/>
        <v>-13782.358178393166</v>
      </c>
      <c r="J45" s="16">
        <f t="shared" si="10"/>
        <v>-13519.85266462986</v>
      </c>
      <c r="K45" s="16">
        <f t="shared" si="10"/>
        <v>-13229.867033314509</v>
      </c>
      <c r="L45" s="16">
        <f t="shared" si="10"/>
        <v>-12910.901003348696</v>
      </c>
      <c r="M45" s="16">
        <f t="shared" si="10"/>
        <v>-12561.382749257906</v>
      </c>
      <c r="N45" s="16">
        <f t="shared" si="10"/>
        <v>-12179.665632104803</v>
      </c>
      <c r="O45" s="16">
        <f t="shared" si="10"/>
        <v>-11764.024783077934</v>
      </c>
      <c r="P45" s="16">
        <f t="shared" si="10"/>
        <v>-11312.653533141329</v>
      </c>
      <c r="Q45" s="16">
        <f t="shared" si="10"/>
        <v>-10823.659681833629</v>
      </c>
      <c r="R45" s="16">
        <f t="shared" si="10"/>
        <v>-10295.061597995144</v>
      </c>
      <c r="S45" s="16">
        <f t="shared" si="10"/>
        <v>-9724.7841448771505</v>
      </c>
      <c r="T45" s="16">
        <f t="shared" si="10"/>
        <v>-9110.6544217490246</v>
      </c>
      <c r="U45" s="16">
        <f t="shared" si="10"/>
        <v>-8450.3973137649355</v>
      </c>
      <c r="V45" s="16">
        <f t="shared" si="10"/>
        <v>-7741.6308414820023</v>
      </c>
      <c r="W45" s="16">
        <f t="shared" si="10"/>
        <v>-6981.8613010354793</v>
      </c>
      <c r="X45" s="16">
        <f t="shared" si="10"/>
        <v>-6168.4781855727169</v>
      </c>
      <c r="Y45" s="16">
        <f t="shared" si="10"/>
        <v>-5298.7488781258153</v>
      </c>
      <c r="Z45" s="16">
        <f t="shared" si="10"/>
        <v>-4369.8131056620177</v>
      </c>
      <c r="AA45" s="16">
        <f t="shared" si="10"/>
        <v>-3378.6771435902833</v>
      </c>
      <c r="AB45" s="16">
        <f t="shared" si="10"/>
        <v>-2322.2077595211249</v>
      </c>
      <c r="AC45" s="16">
        <f t="shared" si="10"/>
        <v>-1197.1258845738851</v>
      </c>
    </row>
    <row r="46" spans="1:29" x14ac:dyDescent="0.25">
      <c r="B46" s="21" t="s">
        <v>62</v>
      </c>
      <c r="D46" s="16"/>
      <c r="E46" s="16">
        <f>-E42-E45</f>
        <v>-3694.7479321476567</v>
      </c>
      <c r="F46" s="16">
        <f t="shared" ref="F46:AC46" si="11">-F42-F45</f>
        <v>-4186.6115890942983</v>
      </c>
      <c r="G46" s="16">
        <f t="shared" si="11"/>
        <v>-4706.1211106035389</v>
      </c>
      <c r="H46" s="16">
        <f t="shared" si="11"/>
        <v>-5254.6058005807063</v>
      </c>
      <c r="I46" s="16">
        <f t="shared" si="11"/>
        <v>-5833.4558614068374</v>
      </c>
      <c r="J46" s="16">
        <f t="shared" si="11"/>
        <v>-6444.1251403411406</v>
      </c>
      <c r="K46" s="16">
        <f t="shared" si="11"/>
        <v>-7088.13399924029</v>
      </c>
      <c r="L46" s="16">
        <f t="shared" si="11"/>
        <v>-7767.0723131286759</v>
      </c>
      <c r="M46" s="16">
        <f t="shared" si="11"/>
        <v>-8482.6026034022925</v>
      </c>
      <c r="N46" s="16">
        <f t="shared" si="11"/>
        <v>-9236.4633117082012</v>
      </c>
      <c r="O46" s="16">
        <f t="shared" si="11"/>
        <v>-10030.472220813426</v>
      </c>
      <c r="P46" s="16">
        <f t="shared" si="11"/>
        <v>-10866.530029059999</v>
      </c>
      <c r="Q46" s="16">
        <f t="shared" si="11"/>
        <v>-11746.624085299682</v>
      </c>
      <c r="R46" s="16">
        <f t="shared" si="11"/>
        <v>-12672.832291510978</v>
      </c>
      <c r="S46" s="16">
        <f t="shared" si="11"/>
        <v>-13647.327180624998</v>
      </c>
      <c r="T46" s="16">
        <f t="shared" si="11"/>
        <v>-14672.380177424207</v>
      </c>
      <c r="U46" s="16">
        <f t="shared" si="11"/>
        <v>-15750.366050731844</v>
      </c>
      <c r="V46" s="16">
        <f t="shared" si="11"/>
        <v>-16883.767565478294</v>
      </c>
      <c r="W46" s="16">
        <f t="shared" si="11"/>
        <v>-18075.180343616939</v>
      </c>
      <c r="X46" s="16">
        <f t="shared" si="11"/>
        <v>-19327.317943264479</v>
      </c>
      <c r="Y46" s="16">
        <f t="shared" si="11"/>
        <v>-20643.017165862173</v>
      </c>
      <c r="Z46" s="16">
        <f t="shared" si="11"/>
        <v>-22025.243601594102</v>
      </c>
      <c r="AA46" s="16">
        <f t="shared" si="11"/>
        <v>-23477.097423759071</v>
      </c>
      <c r="AB46" s="16">
        <f t="shared" si="11"/>
        <v>-25001.819443271997</v>
      </c>
      <c r="AC46" s="16">
        <f t="shared" si="11"/>
        <v>-26602.797434974316</v>
      </c>
    </row>
    <row r="47" spans="1:29" x14ac:dyDescent="0.25">
      <c r="B47" s="9" t="s">
        <v>18</v>
      </c>
      <c r="D47" s="16">
        <f>NPV($C$15,E42:AC42)</f>
        <v>324116.71261894098</v>
      </c>
      <c r="E47" s="16">
        <f>E44+E46</f>
        <v>320421.96468679333</v>
      </c>
      <c r="F47" s="16">
        <f t="shared" ref="F47:AC47" si="12">F44+F46</f>
        <v>316235.35309769906</v>
      </c>
      <c r="G47" s="16">
        <f t="shared" si="12"/>
        <v>311529.2319870955</v>
      </c>
      <c r="H47" s="16">
        <f t="shared" si="12"/>
        <v>306274.6261865148</v>
      </c>
      <c r="I47" s="16">
        <f t="shared" si="12"/>
        <v>300441.17032510799</v>
      </c>
      <c r="J47" s="16">
        <f t="shared" si="12"/>
        <v>293997.04518476687</v>
      </c>
      <c r="K47" s="16">
        <f t="shared" si="12"/>
        <v>286908.91118552658</v>
      </c>
      <c r="L47" s="16">
        <f t="shared" si="12"/>
        <v>279141.8388723979</v>
      </c>
      <c r="M47" s="16">
        <f t="shared" si="12"/>
        <v>270659.23626899562</v>
      </c>
      <c r="N47" s="16">
        <f t="shared" si="12"/>
        <v>261422.77295728741</v>
      </c>
      <c r="O47" s="16">
        <f t="shared" si="12"/>
        <v>251392.30073647399</v>
      </c>
      <c r="P47" s="16">
        <f t="shared" si="12"/>
        <v>240525.77070741399</v>
      </c>
      <c r="Q47" s="16">
        <f t="shared" si="12"/>
        <v>228779.14662211432</v>
      </c>
      <c r="R47" s="16">
        <f t="shared" si="12"/>
        <v>216106.31433060335</v>
      </c>
      <c r="S47" s="16">
        <f t="shared" si="12"/>
        <v>202458.98714997835</v>
      </c>
      <c r="T47" s="16">
        <f t="shared" si="12"/>
        <v>187786.60697255415</v>
      </c>
      <c r="U47" s="16">
        <f t="shared" si="12"/>
        <v>172036.24092182229</v>
      </c>
      <c r="V47" s="16">
        <f t="shared" si="12"/>
        <v>155152.47335634398</v>
      </c>
      <c r="W47" s="16">
        <f t="shared" si="12"/>
        <v>137077.29301272705</v>
      </c>
      <c r="X47" s="16">
        <f t="shared" si="12"/>
        <v>117749.97506946257</v>
      </c>
      <c r="Y47" s="16">
        <f t="shared" si="12"/>
        <v>97106.9579036004</v>
      </c>
      <c r="Z47" s="16">
        <f t="shared" si="12"/>
        <v>75081.714302006294</v>
      </c>
      <c r="AA47" s="16">
        <f t="shared" si="12"/>
        <v>51604.616878247223</v>
      </c>
      <c r="AB47" s="16">
        <f t="shared" si="12"/>
        <v>26602.797434975226</v>
      </c>
      <c r="AC47" s="16">
        <f t="shared" si="12"/>
        <v>9.0949470177292824E-10</v>
      </c>
    </row>
    <row r="48" spans="1:29" x14ac:dyDescent="0.25">
      <c r="B48" s="9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</row>
    <row r="49" spans="2:29" x14ac:dyDescent="0.25">
      <c r="B49" s="9" t="s">
        <v>37</v>
      </c>
      <c r="D49" s="16"/>
      <c r="E49" s="16">
        <f>-(E45+E46)</f>
        <v>18280</v>
      </c>
      <c r="F49" s="16">
        <f t="shared" ref="F49:AC49" si="13">-(F45+F46)</f>
        <v>18605.599999999999</v>
      </c>
      <c r="G49" s="16">
        <f t="shared" si="13"/>
        <v>18936.711999999996</v>
      </c>
      <c r="H49" s="16">
        <f t="shared" si="13"/>
        <v>19273.421240000003</v>
      </c>
      <c r="I49" s="16">
        <f t="shared" si="13"/>
        <v>19615.814039800003</v>
      </c>
      <c r="J49" s="16">
        <f t="shared" si="13"/>
        <v>19963.977804971</v>
      </c>
      <c r="K49" s="16">
        <f t="shared" si="13"/>
        <v>20318.001032554799</v>
      </c>
      <c r="L49" s="16">
        <f t="shared" si="13"/>
        <v>20677.973316477372</v>
      </c>
      <c r="M49" s="16">
        <f t="shared" si="13"/>
        <v>21043.985352660198</v>
      </c>
      <c r="N49" s="16">
        <f t="shared" si="13"/>
        <v>21416.128943813004</v>
      </c>
      <c r="O49" s="16">
        <f t="shared" si="13"/>
        <v>21794.49700389136</v>
      </c>
      <c r="P49" s="16">
        <f t="shared" si="13"/>
        <v>22179.183562201328</v>
      </c>
      <c r="Q49" s="16">
        <f t="shared" si="13"/>
        <v>22570.283767133311</v>
      </c>
      <c r="R49" s="16">
        <f t="shared" si="13"/>
        <v>22967.893889506122</v>
      </c>
      <c r="S49" s="16">
        <f t="shared" si="13"/>
        <v>23372.111325502148</v>
      </c>
      <c r="T49" s="16">
        <f t="shared" si="13"/>
        <v>23783.034599173232</v>
      </c>
      <c r="U49" s="16">
        <f t="shared" si="13"/>
        <v>24200.763364496779</v>
      </c>
      <c r="V49" s="16">
        <f t="shared" si="13"/>
        <v>24625.398406960296</v>
      </c>
      <c r="W49" s="16">
        <f t="shared" si="13"/>
        <v>25057.041644652418</v>
      </c>
      <c r="X49" s="16">
        <f t="shared" si="13"/>
        <v>25495.796128837195</v>
      </c>
      <c r="Y49" s="16">
        <f t="shared" si="13"/>
        <v>25941.766043987987</v>
      </c>
      <c r="Z49" s="16">
        <f t="shared" si="13"/>
        <v>26395.056707256121</v>
      </c>
      <c r="AA49" s="16">
        <f t="shared" si="13"/>
        <v>26855.774567349355</v>
      </c>
      <c r="AB49" s="16">
        <f t="shared" si="13"/>
        <v>27324.027202793121</v>
      </c>
      <c r="AC49" s="16">
        <f t="shared" si="13"/>
        <v>27799.923319548201</v>
      </c>
    </row>
    <row r="50" spans="2:29" x14ac:dyDescent="0.25">
      <c r="B50" s="9" t="s">
        <v>38</v>
      </c>
      <c r="E50" s="51">
        <f t="shared" ref="E50:AC50" si="14">E39/E49</f>
        <v>1.4792122538293218</v>
      </c>
      <c r="F50" s="51">
        <f t="shared" si="14"/>
        <v>1.4802425076321111</v>
      </c>
      <c r="G50" s="51">
        <f t="shared" si="14"/>
        <v>1.4812822838516004</v>
      </c>
      <c r="H50" s="51">
        <f t="shared" si="14"/>
        <v>1.4823317025161429</v>
      </c>
      <c r="I50" s="51">
        <f t="shared" si="14"/>
        <v>1.4833908856579205</v>
      </c>
      <c r="J50" s="51">
        <f t="shared" si="14"/>
        <v>1.4844599573549793</v>
      </c>
      <c r="K50" s="51">
        <f t="shared" si="14"/>
        <v>1.4855390437743368</v>
      </c>
      <c r="L50" s="51">
        <f t="shared" si="14"/>
        <v>1.4866282732161831</v>
      </c>
      <c r="M50" s="51">
        <f t="shared" si="14"/>
        <v>1.4877277761592049</v>
      </c>
      <c r="N50" s="51">
        <f t="shared" si="14"/>
        <v>1.4888376853070771</v>
      </c>
      <c r="O50" s="51">
        <f t="shared" si="14"/>
        <v>1.4899581356361413</v>
      </c>
      <c r="P50" s="51">
        <f t="shared" si="14"/>
        <v>1.4910892644443265</v>
      </c>
      <c r="Q50" s="51">
        <f t="shared" si="14"/>
        <v>1.4922312114013341</v>
      </c>
      <c r="R50" s="51">
        <f t="shared" si="14"/>
        <v>1.4933841186001282</v>
      </c>
      <c r="S50" s="51">
        <f t="shared" si="14"/>
        <v>1.4945481306097805</v>
      </c>
      <c r="T50" s="51">
        <f t="shared" si="14"/>
        <v>1.4957233945296966</v>
      </c>
      <c r="U50" s="51">
        <f t="shared" si="14"/>
        <v>1.4969100600452823</v>
      </c>
      <c r="V50" s="51">
        <f t="shared" si="14"/>
        <v>1.4981082794850806</v>
      </c>
      <c r="W50" s="51">
        <f t="shared" si="14"/>
        <v>1.4993182078794323</v>
      </c>
      <c r="X50" s="51">
        <f t="shared" si="14"/>
        <v>1.5005400030207077</v>
      </c>
      <c r="Y50" s="51">
        <f t="shared" si="14"/>
        <v>1.5017738255251536</v>
      </c>
      <c r="Z50" s="51">
        <f t="shared" si="14"/>
        <v>1.5030198388964182</v>
      </c>
      <c r="AA50" s="51">
        <f t="shared" si="14"/>
        <v>1.5042782095907863</v>
      </c>
      <c r="AB50" s="51">
        <f t="shared" si="14"/>
        <v>1.5055491070842066</v>
      </c>
      <c r="AC50" s="51">
        <f t="shared" si="14"/>
        <v>1.50683270394114</v>
      </c>
    </row>
    <row r="51" spans="2:29" x14ac:dyDescent="0.25">
      <c r="B51" s="9"/>
    </row>
    <row r="52" spans="2:29" x14ac:dyDescent="0.25">
      <c r="B52" s="9" t="s">
        <v>31</v>
      </c>
      <c r="D52" s="16"/>
      <c r="E52" s="16">
        <f t="shared" ref="E52:AC52" si="15">E39-E49</f>
        <v>8760</v>
      </c>
      <c r="F52" s="16">
        <f t="shared" si="15"/>
        <v>8935.2000000000044</v>
      </c>
      <c r="G52" s="16">
        <f t="shared" si="15"/>
        <v>9113.9040000000059</v>
      </c>
      <c r="H52" s="16">
        <f t="shared" si="15"/>
        <v>9296.1820799999914</v>
      </c>
      <c r="I52" s="16">
        <f t="shared" si="15"/>
        <v>9482.1057215999972</v>
      </c>
      <c r="J52" s="16">
        <f t="shared" si="15"/>
        <v>9671.7478360320019</v>
      </c>
      <c r="K52" s="16">
        <f t="shared" si="15"/>
        <v>9865.1827927526429</v>
      </c>
      <c r="L52" s="16">
        <f t="shared" si="15"/>
        <v>10062.486448607691</v>
      </c>
      <c r="M52" s="16">
        <f t="shared" si="15"/>
        <v>10263.736177579842</v>
      </c>
      <c r="N52" s="16">
        <f t="shared" si="15"/>
        <v>10469.010901131445</v>
      </c>
      <c r="O52" s="16">
        <f t="shared" si="15"/>
        <v>10678.391119154079</v>
      </c>
      <c r="P52" s="16">
        <f t="shared" si="15"/>
        <v>10891.958941537148</v>
      </c>
      <c r="Q52" s="16">
        <f t="shared" si="15"/>
        <v>11109.798120367894</v>
      </c>
      <c r="R52" s="16">
        <f t="shared" si="15"/>
        <v>11331.994082775251</v>
      </c>
      <c r="S52" s="16">
        <f t="shared" si="15"/>
        <v>11558.633964430766</v>
      </c>
      <c r="T52" s="16">
        <f t="shared" si="15"/>
        <v>11789.806643719377</v>
      </c>
      <c r="U52" s="16">
        <f t="shared" si="15"/>
        <v>12025.602776593762</v>
      </c>
      <c r="V52" s="16">
        <f t="shared" si="15"/>
        <v>12266.114832125641</v>
      </c>
      <c r="W52" s="16">
        <f t="shared" si="15"/>
        <v>12511.43712876815</v>
      </c>
      <c r="X52" s="16">
        <f t="shared" si="15"/>
        <v>12761.665871343517</v>
      </c>
      <c r="Y52" s="16">
        <f t="shared" si="15"/>
        <v>13016.899188770385</v>
      </c>
      <c r="Z52" s="16">
        <f t="shared" si="15"/>
        <v>13277.237172545796</v>
      </c>
      <c r="AA52" s="16">
        <f t="shared" si="15"/>
        <v>13542.781915996704</v>
      </c>
      <c r="AB52" s="16">
        <f t="shared" si="15"/>
        <v>13813.637554316636</v>
      </c>
      <c r="AC52" s="16">
        <f t="shared" si="15"/>
        <v>14089.910305402969</v>
      </c>
    </row>
    <row r="53" spans="2:29" x14ac:dyDescent="0.25">
      <c r="B53" s="9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</row>
    <row r="54" spans="2:29" x14ac:dyDescent="0.25">
      <c r="B54" s="9" t="s">
        <v>32</v>
      </c>
      <c r="D54" s="16"/>
      <c r="E54" s="16">
        <f t="shared" ref="E54:AC54" si="16">E39/$C$14-E49</f>
        <v>4253.3333333333358</v>
      </c>
      <c r="F54" s="16">
        <f t="shared" si="16"/>
        <v>4345.066666666673</v>
      </c>
      <c r="G54" s="16">
        <f t="shared" si="16"/>
        <v>4438.8013333333402</v>
      </c>
      <c r="H54" s="16">
        <f t="shared" si="16"/>
        <v>4534.5815266666614</v>
      </c>
      <c r="I54" s="16">
        <f t="shared" si="16"/>
        <v>4632.4524280333317</v>
      </c>
      <c r="J54" s="16">
        <f t="shared" si="16"/>
        <v>4732.4602291981682</v>
      </c>
      <c r="K54" s="16">
        <f t="shared" si="16"/>
        <v>4834.6521552014019</v>
      </c>
      <c r="L54" s="16">
        <f t="shared" si="16"/>
        <v>4939.0764877601832</v>
      </c>
      <c r="M54" s="16">
        <f t="shared" si="16"/>
        <v>5045.7825892065011</v>
      </c>
      <c r="N54" s="16">
        <f t="shared" si="16"/>
        <v>5154.8209269740364</v>
      </c>
      <c r="O54" s="16">
        <f t="shared" si="16"/>
        <v>5266.2430986465079</v>
      </c>
      <c r="P54" s="16">
        <f t="shared" si="16"/>
        <v>5380.1018575807357</v>
      </c>
      <c r="Q54" s="16">
        <f t="shared" si="16"/>
        <v>5496.4511391176929</v>
      </c>
      <c r="R54" s="16">
        <f t="shared" si="16"/>
        <v>5615.3460873950244</v>
      </c>
      <c r="S54" s="16">
        <f t="shared" si="16"/>
        <v>5736.8430827752818</v>
      </c>
      <c r="T54" s="16">
        <f t="shared" si="16"/>
        <v>5860.999769903945</v>
      </c>
      <c r="U54" s="16">
        <f t="shared" si="16"/>
        <v>5987.8750864120047</v>
      </c>
      <c r="V54" s="16">
        <f t="shared" si="16"/>
        <v>6117.5292922779845</v>
      </c>
      <c r="W54" s="16">
        <f t="shared" si="16"/>
        <v>6250.023999864723</v>
      </c>
      <c r="X54" s="16">
        <f t="shared" si="16"/>
        <v>6385.422204646733</v>
      </c>
      <c r="Y54" s="16">
        <f t="shared" si="16"/>
        <v>6523.7883166439897</v>
      </c>
      <c r="Z54" s="16">
        <f t="shared" si="16"/>
        <v>6665.1881925788148</v>
      </c>
      <c r="AA54" s="16">
        <f t="shared" si="16"/>
        <v>6809.6891687723619</v>
      </c>
      <c r="AB54" s="16">
        <f t="shared" si="16"/>
        <v>6957.3600947983432</v>
      </c>
      <c r="AC54" s="16">
        <f t="shared" si="16"/>
        <v>7108.2713679111112</v>
      </c>
    </row>
    <row r="55" spans="2:29" x14ac:dyDescent="0.25">
      <c r="B55" s="9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</row>
    <row r="56" spans="2:29" x14ac:dyDescent="0.25">
      <c r="B56" s="9" t="s">
        <v>16</v>
      </c>
      <c r="D56" s="16"/>
      <c r="E56" s="16">
        <f>D59</f>
        <v>63370.166837816891</v>
      </c>
      <c r="F56" s="16">
        <f t="shared" ref="F56:AC56" si="17">E59</f>
        <v>63235.894348941656</v>
      </c>
      <c r="G56" s="16">
        <f t="shared" si="17"/>
        <v>63001.160814956194</v>
      </c>
      <c r="H56" s="16">
        <f t="shared" si="17"/>
        <v>62657.434934595003</v>
      </c>
      <c r="I56" s="16">
        <f t="shared" si="17"/>
        <v>62195.58667867702</v>
      </c>
      <c r="J56" s="16">
        <f t="shared" si="17"/>
        <v>61605.847384757697</v>
      </c>
      <c r="K56" s="16">
        <f t="shared" si="17"/>
        <v>60877.767235568783</v>
      </c>
      <c r="L56" s="16">
        <f t="shared" si="17"/>
        <v>60000.169950679352</v>
      </c>
      <c r="M56" s="16">
        <f t="shared" si="17"/>
        <v>58961.104509713325</v>
      </c>
      <c r="N56" s="16">
        <f t="shared" si="17"/>
        <v>57747.793713638188</v>
      </c>
      <c r="O56" s="16">
        <f t="shared" si="17"/>
        <v>56346.579378050636</v>
      </c>
      <c r="P56" s="16">
        <f t="shared" si="17"/>
        <v>54742.863938977418</v>
      </c>
      <c r="Q56" s="16">
        <f t="shared" si="17"/>
        <v>52921.048237430216</v>
      </c>
      <c r="R56" s="16">
        <f t="shared" si="17"/>
        <v>50864.46523374549</v>
      </c>
      <c r="S56" s="16">
        <f t="shared" si="17"/>
        <v>48555.309386543922</v>
      </c>
      <c r="T56" s="16">
        <f t="shared" si="17"/>
        <v>45974.561413893993</v>
      </c>
      <c r="U56" s="16">
        <f t="shared" si="17"/>
        <v>43101.908135893158</v>
      </c>
      <c r="V56" s="16">
        <f t="shared" si="17"/>
        <v>39915.657078314209</v>
      </c>
      <c r="W56" s="16">
        <f t="shared" si="17"/>
        <v>36392.64549612665</v>
      </c>
      <c r="X56" s="16">
        <f t="shared" si="17"/>
        <v>32508.143453510158</v>
      </c>
      <c r="Y56" s="16">
        <f t="shared" si="17"/>
        <v>28235.750573341586</v>
      </c>
      <c r="Z56" s="16">
        <f t="shared" si="17"/>
        <v>23547.286043964799</v>
      </c>
      <c r="AA56" s="16">
        <f t="shared" si="17"/>
        <v>18412.671444243697</v>
      </c>
      <c r="AB56" s="16">
        <f t="shared" si="17"/>
        <v>12799.805919347174</v>
      </c>
      <c r="AC56" s="16">
        <f t="shared" si="17"/>
        <v>6674.4332093063977</v>
      </c>
    </row>
    <row r="57" spans="2:29" x14ac:dyDescent="0.25">
      <c r="B57" s="21" t="s">
        <v>61</v>
      </c>
      <c r="D57" s="16"/>
      <c r="E57" s="16">
        <f>E56*-$C$16</f>
        <v>-4119.0608444580985</v>
      </c>
      <c r="F57" s="16">
        <f t="shared" ref="F57:AC57" si="18">F56*-$C$16</f>
        <v>-4110.3331326812076</v>
      </c>
      <c r="G57" s="16">
        <f t="shared" si="18"/>
        <v>-4095.0754529721526</v>
      </c>
      <c r="H57" s="16">
        <f t="shared" si="18"/>
        <v>-4072.7332707486753</v>
      </c>
      <c r="I57" s="16">
        <f t="shared" si="18"/>
        <v>-4042.7131341140066</v>
      </c>
      <c r="J57" s="16">
        <f t="shared" si="18"/>
        <v>-4004.3800800092504</v>
      </c>
      <c r="K57" s="16">
        <f t="shared" si="18"/>
        <v>-3957.0548703119712</v>
      </c>
      <c r="L57" s="16">
        <f t="shared" si="18"/>
        <v>-3900.0110467941581</v>
      </c>
      <c r="M57" s="16">
        <f t="shared" si="18"/>
        <v>-3832.4717931313662</v>
      </c>
      <c r="N57" s="16">
        <f t="shared" si="18"/>
        <v>-3753.6065913864823</v>
      </c>
      <c r="O57" s="16">
        <f t="shared" si="18"/>
        <v>-3662.5276595732917</v>
      </c>
      <c r="P57" s="16">
        <f t="shared" si="18"/>
        <v>-3558.2861560335323</v>
      </c>
      <c r="Q57" s="16">
        <f t="shared" si="18"/>
        <v>-3439.8681354329642</v>
      </c>
      <c r="R57" s="16">
        <f t="shared" si="18"/>
        <v>-3306.1902401934572</v>
      </c>
      <c r="S57" s="16">
        <f t="shared" si="18"/>
        <v>-3156.0951101253549</v>
      </c>
      <c r="T57" s="16">
        <f t="shared" si="18"/>
        <v>-2988.3464919031098</v>
      </c>
      <c r="U57" s="16">
        <f t="shared" si="18"/>
        <v>-2801.6240288330555</v>
      </c>
      <c r="V57" s="16">
        <f t="shared" si="18"/>
        <v>-2594.5177100904239</v>
      </c>
      <c r="W57" s="16">
        <f t="shared" si="18"/>
        <v>-2365.5219572482324</v>
      </c>
      <c r="X57" s="16">
        <f t="shared" si="18"/>
        <v>-2113.0293244781606</v>
      </c>
      <c r="Y57" s="16">
        <f t="shared" si="18"/>
        <v>-1835.3237872672032</v>
      </c>
      <c r="Z57" s="16">
        <f t="shared" si="18"/>
        <v>-1530.5735928577119</v>
      </c>
      <c r="AA57" s="16">
        <f t="shared" si="18"/>
        <v>-1196.8236438758404</v>
      </c>
      <c r="AB57" s="16">
        <f t="shared" si="18"/>
        <v>-831.98738475756636</v>
      </c>
      <c r="AC57" s="16">
        <f t="shared" si="18"/>
        <v>-433.83815860491586</v>
      </c>
    </row>
    <row r="58" spans="2:29" x14ac:dyDescent="0.25">
      <c r="B58" s="21" t="s">
        <v>62</v>
      </c>
      <c r="D58" s="16"/>
      <c r="E58" s="16">
        <f t="shared" ref="E58:AC58" si="19">-E54-E57</f>
        <v>-134.27248887523729</v>
      </c>
      <c r="F58" s="16">
        <f t="shared" si="19"/>
        <v>-234.73353398546533</v>
      </c>
      <c r="G58" s="16">
        <f t="shared" si="19"/>
        <v>-343.72588036118759</v>
      </c>
      <c r="H58" s="16">
        <f t="shared" si="19"/>
        <v>-461.84825591798608</v>
      </c>
      <c r="I58" s="16">
        <f t="shared" si="19"/>
        <v>-589.73929391932506</v>
      </c>
      <c r="J58" s="16">
        <f t="shared" si="19"/>
        <v>-728.08014918891786</v>
      </c>
      <c r="K58" s="16">
        <f t="shared" si="19"/>
        <v>-877.59728488943074</v>
      </c>
      <c r="L58" s="16">
        <f t="shared" si="19"/>
        <v>-1039.0654409660251</v>
      </c>
      <c r="M58" s="16">
        <f t="shared" si="19"/>
        <v>-1213.3107960751349</v>
      </c>
      <c r="N58" s="16">
        <f t="shared" si="19"/>
        <v>-1401.2143355875542</v>
      </c>
      <c r="O58" s="16">
        <f t="shared" si="19"/>
        <v>-1603.7154390732162</v>
      </c>
      <c r="P58" s="16">
        <f t="shared" si="19"/>
        <v>-1821.8157015472034</v>
      </c>
      <c r="Q58" s="16">
        <f t="shared" si="19"/>
        <v>-2056.5830036847287</v>
      </c>
      <c r="R58" s="16">
        <f t="shared" si="19"/>
        <v>-2309.1558472015672</v>
      </c>
      <c r="S58" s="16">
        <f t="shared" si="19"/>
        <v>-2580.7479726499269</v>
      </c>
      <c r="T58" s="16">
        <f t="shared" si="19"/>
        <v>-2872.6532780008351</v>
      </c>
      <c r="U58" s="16">
        <f t="shared" si="19"/>
        <v>-3186.2510575789493</v>
      </c>
      <c r="V58" s="16">
        <f t="shared" si="19"/>
        <v>-3523.0115821875606</v>
      </c>
      <c r="W58" s="16">
        <f t="shared" si="19"/>
        <v>-3884.5020426164906</v>
      </c>
      <c r="X58" s="16">
        <f t="shared" si="19"/>
        <v>-4272.3928801685724</v>
      </c>
      <c r="Y58" s="16">
        <f t="shared" si="19"/>
        <v>-4688.4645293767862</v>
      </c>
      <c r="Z58" s="16">
        <f t="shared" si="19"/>
        <v>-5134.6145997211024</v>
      </c>
      <c r="AA58" s="16">
        <f t="shared" si="19"/>
        <v>-5612.8655248965215</v>
      </c>
      <c r="AB58" s="16">
        <f t="shared" si="19"/>
        <v>-6125.3727100407768</v>
      </c>
      <c r="AC58" s="16">
        <f t="shared" si="19"/>
        <v>-6674.4332093061948</v>
      </c>
    </row>
    <row r="59" spans="2:29" x14ac:dyDescent="0.25">
      <c r="B59" s="9" t="s">
        <v>18</v>
      </c>
      <c r="D59" s="16">
        <f>NPV($C$16,E54:AC54)</f>
        <v>63370.166837816891</v>
      </c>
      <c r="E59" s="16">
        <f>E56+E58</f>
        <v>63235.894348941656</v>
      </c>
      <c r="F59" s="16">
        <f t="shared" ref="F59:AC59" si="20">F56+F58</f>
        <v>63001.160814956194</v>
      </c>
      <c r="G59" s="16">
        <f t="shared" si="20"/>
        <v>62657.434934595003</v>
      </c>
      <c r="H59" s="16">
        <f t="shared" si="20"/>
        <v>62195.58667867702</v>
      </c>
      <c r="I59" s="16">
        <f t="shared" si="20"/>
        <v>61605.847384757697</v>
      </c>
      <c r="J59" s="16">
        <f t="shared" si="20"/>
        <v>60877.767235568783</v>
      </c>
      <c r="K59" s="16">
        <f t="shared" si="20"/>
        <v>60000.169950679352</v>
      </c>
      <c r="L59" s="16">
        <f t="shared" si="20"/>
        <v>58961.104509713325</v>
      </c>
      <c r="M59" s="16">
        <f t="shared" si="20"/>
        <v>57747.793713638188</v>
      </c>
      <c r="N59" s="16">
        <f t="shared" si="20"/>
        <v>56346.579378050636</v>
      </c>
      <c r="O59" s="16">
        <f t="shared" si="20"/>
        <v>54742.863938977418</v>
      </c>
      <c r="P59" s="16">
        <f t="shared" si="20"/>
        <v>52921.048237430216</v>
      </c>
      <c r="Q59" s="16">
        <f t="shared" si="20"/>
        <v>50864.46523374549</v>
      </c>
      <c r="R59" s="16">
        <f t="shared" si="20"/>
        <v>48555.309386543922</v>
      </c>
      <c r="S59" s="16">
        <f t="shared" si="20"/>
        <v>45974.561413893993</v>
      </c>
      <c r="T59" s="16">
        <f t="shared" si="20"/>
        <v>43101.908135893158</v>
      </c>
      <c r="U59" s="16">
        <f t="shared" si="20"/>
        <v>39915.657078314209</v>
      </c>
      <c r="V59" s="16">
        <f t="shared" si="20"/>
        <v>36392.64549612665</v>
      </c>
      <c r="W59" s="16">
        <f t="shared" si="20"/>
        <v>32508.143453510158</v>
      </c>
      <c r="X59" s="16">
        <f t="shared" si="20"/>
        <v>28235.750573341586</v>
      </c>
      <c r="Y59" s="16">
        <f t="shared" si="20"/>
        <v>23547.286043964799</v>
      </c>
      <c r="Z59" s="16">
        <f t="shared" si="20"/>
        <v>18412.671444243697</v>
      </c>
      <c r="AA59" s="16">
        <f t="shared" si="20"/>
        <v>12799.805919347174</v>
      </c>
      <c r="AB59" s="16">
        <f t="shared" si="20"/>
        <v>6674.4332093063977</v>
      </c>
      <c r="AC59" s="16">
        <f t="shared" si="20"/>
        <v>2.02817318495363E-10</v>
      </c>
    </row>
    <row r="60" spans="2:29" x14ac:dyDescent="0.25">
      <c r="B60" s="9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</row>
    <row r="61" spans="2:29" x14ac:dyDescent="0.25">
      <c r="B61" s="9" t="s">
        <v>39</v>
      </c>
      <c r="D61" s="16"/>
      <c r="E61" s="16">
        <f>-(E57+E58)</f>
        <v>4253.3333333333358</v>
      </c>
      <c r="F61" s="16">
        <f t="shared" ref="F61:AC61" si="21">-(F57+F58)</f>
        <v>4345.066666666673</v>
      </c>
      <c r="G61" s="16">
        <f t="shared" si="21"/>
        <v>4438.8013333333402</v>
      </c>
      <c r="H61" s="16">
        <f t="shared" si="21"/>
        <v>4534.5815266666614</v>
      </c>
      <c r="I61" s="16">
        <f t="shared" si="21"/>
        <v>4632.4524280333317</v>
      </c>
      <c r="J61" s="16">
        <f t="shared" si="21"/>
        <v>4732.4602291981682</v>
      </c>
      <c r="K61" s="16">
        <f t="shared" si="21"/>
        <v>4834.6521552014019</v>
      </c>
      <c r="L61" s="16">
        <f t="shared" si="21"/>
        <v>4939.0764877601832</v>
      </c>
      <c r="M61" s="16">
        <f t="shared" si="21"/>
        <v>5045.7825892065011</v>
      </c>
      <c r="N61" s="16">
        <f t="shared" si="21"/>
        <v>5154.8209269740364</v>
      </c>
      <c r="O61" s="16">
        <f t="shared" si="21"/>
        <v>5266.2430986465079</v>
      </c>
      <c r="P61" s="16">
        <f t="shared" si="21"/>
        <v>5380.1018575807357</v>
      </c>
      <c r="Q61" s="16">
        <f t="shared" si="21"/>
        <v>5496.4511391176929</v>
      </c>
      <c r="R61" s="16">
        <f t="shared" si="21"/>
        <v>5615.3460873950244</v>
      </c>
      <c r="S61" s="16">
        <f t="shared" si="21"/>
        <v>5736.8430827752818</v>
      </c>
      <c r="T61" s="16">
        <f t="shared" si="21"/>
        <v>5860.999769903945</v>
      </c>
      <c r="U61" s="16">
        <f t="shared" si="21"/>
        <v>5987.8750864120047</v>
      </c>
      <c r="V61" s="16">
        <f t="shared" si="21"/>
        <v>6117.5292922779845</v>
      </c>
      <c r="W61" s="16">
        <f t="shared" si="21"/>
        <v>6250.023999864723</v>
      </c>
      <c r="X61" s="16">
        <f t="shared" si="21"/>
        <v>6385.422204646733</v>
      </c>
      <c r="Y61" s="16">
        <f t="shared" si="21"/>
        <v>6523.7883166439897</v>
      </c>
      <c r="Z61" s="16">
        <f t="shared" si="21"/>
        <v>6665.1881925788148</v>
      </c>
      <c r="AA61" s="16">
        <f t="shared" si="21"/>
        <v>6809.6891687723619</v>
      </c>
      <c r="AB61" s="16">
        <f t="shared" si="21"/>
        <v>6957.3600947983432</v>
      </c>
      <c r="AC61" s="16">
        <f t="shared" si="21"/>
        <v>7108.2713679111112</v>
      </c>
    </row>
    <row r="62" spans="2:29" x14ac:dyDescent="0.25">
      <c r="B62" s="62" t="s">
        <v>40</v>
      </c>
      <c r="E62" s="51">
        <f t="shared" ref="E62:AC62" si="22">E39/(E49+E61)</f>
        <v>1.2</v>
      </c>
      <c r="F62" s="51">
        <f t="shared" si="22"/>
        <v>1.2</v>
      </c>
      <c r="G62" s="51">
        <f t="shared" si="22"/>
        <v>1.2</v>
      </c>
      <c r="H62" s="51">
        <f t="shared" si="22"/>
        <v>1.2</v>
      </c>
      <c r="I62" s="51">
        <f t="shared" si="22"/>
        <v>1.2</v>
      </c>
      <c r="J62" s="51">
        <f t="shared" si="22"/>
        <v>1.2</v>
      </c>
      <c r="K62" s="51">
        <f t="shared" si="22"/>
        <v>1.2</v>
      </c>
      <c r="L62" s="51">
        <f t="shared" si="22"/>
        <v>1.2</v>
      </c>
      <c r="M62" s="51">
        <f t="shared" si="22"/>
        <v>1.2</v>
      </c>
      <c r="N62" s="51">
        <f t="shared" si="22"/>
        <v>1.2</v>
      </c>
      <c r="O62" s="51">
        <f t="shared" si="22"/>
        <v>1.2</v>
      </c>
      <c r="P62" s="51">
        <f t="shared" si="22"/>
        <v>1.2</v>
      </c>
      <c r="Q62" s="51">
        <f t="shared" si="22"/>
        <v>1.2</v>
      </c>
      <c r="R62" s="51">
        <f t="shared" si="22"/>
        <v>1.2</v>
      </c>
      <c r="S62" s="51">
        <f t="shared" si="22"/>
        <v>1.2</v>
      </c>
      <c r="T62" s="51">
        <f t="shared" si="22"/>
        <v>1.2</v>
      </c>
      <c r="U62" s="51">
        <f t="shared" si="22"/>
        <v>1.2</v>
      </c>
      <c r="V62" s="51">
        <f t="shared" si="22"/>
        <v>1.2</v>
      </c>
      <c r="W62" s="51">
        <f t="shared" si="22"/>
        <v>1.2</v>
      </c>
      <c r="X62" s="51">
        <f t="shared" si="22"/>
        <v>1.2</v>
      </c>
      <c r="Y62" s="51">
        <f t="shared" si="22"/>
        <v>1.2</v>
      </c>
      <c r="Z62" s="51">
        <f t="shared" si="22"/>
        <v>1.1999999999999997</v>
      </c>
      <c r="AA62" s="51">
        <f t="shared" si="22"/>
        <v>1.2</v>
      </c>
      <c r="AB62" s="51">
        <f t="shared" si="22"/>
        <v>1.2</v>
      </c>
      <c r="AC62" s="51">
        <f t="shared" si="22"/>
        <v>1.2</v>
      </c>
    </row>
    <row r="63" spans="2:29" x14ac:dyDescent="0.25">
      <c r="B63" s="9"/>
    </row>
    <row r="64" spans="2:29" x14ac:dyDescent="0.25">
      <c r="B64" s="9" t="s">
        <v>25</v>
      </c>
      <c r="D64" s="16">
        <f>-(C20-D47-D59)</f>
        <v>-32513.120543242134</v>
      </c>
      <c r="E64" s="16">
        <f t="shared" ref="E64:AC64" si="23">E39-E49-E61</f>
        <v>4506.6666666666642</v>
      </c>
      <c r="F64" s="16">
        <f t="shared" si="23"/>
        <v>4590.1333333333314</v>
      </c>
      <c r="G64" s="16">
        <f t="shared" si="23"/>
        <v>4675.1026666666658</v>
      </c>
      <c r="H64" s="16">
        <f t="shared" si="23"/>
        <v>4761.60055333333</v>
      </c>
      <c r="I64" s="16">
        <f t="shared" si="23"/>
        <v>4849.6532935666655</v>
      </c>
      <c r="J64" s="16">
        <f t="shared" si="23"/>
        <v>4939.2876068338337</v>
      </c>
      <c r="K64" s="16">
        <f t="shared" si="23"/>
        <v>5030.5306375512409</v>
      </c>
      <c r="L64" s="16">
        <f t="shared" si="23"/>
        <v>5123.409960847508</v>
      </c>
      <c r="M64" s="16">
        <f t="shared" si="23"/>
        <v>5217.9535883733406</v>
      </c>
      <c r="N64" s="16">
        <f t="shared" si="23"/>
        <v>5314.1899741574089</v>
      </c>
      <c r="O64" s="16">
        <f t="shared" si="23"/>
        <v>5412.1480205075713</v>
      </c>
      <c r="P64" s="16">
        <f t="shared" si="23"/>
        <v>5511.8570839564127</v>
      </c>
      <c r="Q64" s="16">
        <f t="shared" si="23"/>
        <v>5613.3469812502008</v>
      </c>
      <c r="R64" s="16">
        <f t="shared" si="23"/>
        <v>5716.6479953802263</v>
      </c>
      <c r="S64" s="16">
        <f t="shared" si="23"/>
        <v>5821.7908816554846</v>
      </c>
      <c r="T64" s="16">
        <f t="shared" si="23"/>
        <v>5928.8068738154325</v>
      </c>
      <c r="U64" s="16">
        <f t="shared" si="23"/>
        <v>6037.7276901817568</v>
      </c>
      <c r="V64" s="16">
        <f t="shared" si="23"/>
        <v>6148.585539847656</v>
      </c>
      <c r="W64" s="16">
        <f t="shared" si="23"/>
        <v>6261.4131289034267</v>
      </c>
      <c r="X64" s="16">
        <f t="shared" si="23"/>
        <v>6376.2436666967842</v>
      </c>
      <c r="Y64" s="16">
        <f t="shared" si="23"/>
        <v>6493.1108721263954</v>
      </c>
      <c r="Z64" s="16">
        <f t="shared" si="23"/>
        <v>6612.0489799669813</v>
      </c>
      <c r="AA64" s="16">
        <f t="shared" si="23"/>
        <v>6733.092747224342</v>
      </c>
      <c r="AB64" s="16">
        <f t="shared" si="23"/>
        <v>6856.2774595182927</v>
      </c>
      <c r="AC64" s="16">
        <f t="shared" si="23"/>
        <v>6981.6389374918581</v>
      </c>
    </row>
    <row r="65" spans="2:29" x14ac:dyDescent="0.25">
      <c r="B65" s="21" t="s">
        <v>70</v>
      </c>
      <c r="D65" s="16">
        <f>SUM($D$64:D64)</f>
        <v>-32513.120543242134</v>
      </c>
      <c r="E65" s="16">
        <f>SUM($D$64:E64)</f>
        <v>-28006.45387657547</v>
      </c>
      <c r="F65" s="16">
        <f>SUM($D$64:F64)</f>
        <v>-23416.320543242138</v>
      </c>
      <c r="G65" s="16">
        <f>SUM($D$64:G64)</f>
        <v>-18741.217876575472</v>
      </c>
      <c r="H65" s="16">
        <f>SUM($D$64:H64)</f>
        <v>-13979.617323242142</v>
      </c>
      <c r="I65" s="16">
        <f>SUM($D$64:I64)</f>
        <v>-9129.9640296754769</v>
      </c>
      <c r="J65" s="16">
        <f>SUM($D$64:J64)</f>
        <v>-4190.6764228416432</v>
      </c>
      <c r="K65" s="16">
        <f>SUM($D$64:K64)</f>
        <v>839.85421470959773</v>
      </c>
      <c r="L65" s="16">
        <f>SUM($D$64:L64)</f>
        <v>5963.2641755571058</v>
      </c>
      <c r="M65" s="16">
        <f>SUM($D$64:M64)</f>
        <v>11181.217763930446</v>
      </c>
      <c r="N65" s="16">
        <f>SUM($D$64:N64)</f>
        <v>16495.407738087855</v>
      </c>
      <c r="O65" s="16">
        <f>SUM($D$64:O64)</f>
        <v>21907.555758595427</v>
      </c>
      <c r="P65" s="16">
        <f>SUM($D$64:P64)</f>
        <v>27419.412842551839</v>
      </c>
      <c r="Q65" s="16">
        <f>SUM($D$64:Q64)</f>
        <v>33032.759823802044</v>
      </c>
      <c r="R65" s="16">
        <f>SUM($D$64:R64)</f>
        <v>38749.40781918227</v>
      </c>
      <c r="S65" s="16">
        <f>SUM($D$64:S64)</f>
        <v>44571.198700837755</v>
      </c>
      <c r="T65" s="16">
        <f>SUM($D$64:T64)</f>
        <v>50500.005574653187</v>
      </c>
      <c r="U65" s="16">
        <f>SUM($D$64:U64)</f>
        <v>56537.73326483494</v>
      </c>
      <c r="V65" s="16">
        <f>SUM($D$64:V64)</f>
        <v>62686.318804682596</v>
      </c>
      <c r="W65" s="16">
        <f>SUM($D$64:W64)</f>
        <v>68947.731933586023</v>
      </c>
      <c r="X65" s="16">
        <f>SUM($D$64:X64)</f>
        <v>75323.975600282807</v>
      </c>
      <c r="Y65" s="16">
        <f>SUM($D$64:Y64)</f>
        <v>81817.086472409195</v>
      </c>
      <c r="Z65" s="16">
        <f>SUM($D$64:Z64)</f>
        <v>88429.135452376184</v>
      </c>
      <c r="AA65" s="16">
        <f>SUM($D$64:AA64)</f>
        <v>95162.228199600533</v>
      </c>
      <c r="AB65" s="16">
        <f>SUM($D$64:AB64)</f>
        <v>102018.50565911882</v>
      </c>
      <c r="AC65" s="16">
        <f>SUM($D$64:AC64)</f>
        <v>109000.14459661068</v>
      </c>
    </row>
    <row r="66" spans="2:29" x14ac:dyDescent="0.25">
      <c r="B66" s="9" t="s">
        <v>71</v>
      </c>
      <c r="E66" s="6" t="str">
        <f t="shared" ref="E66:AC66" si="24">IF(AND(D65&lt;0,E65&gt;=0),E26-E65/(ABS(D65)+E65),"")</f>
        <v/>
      </c>
      <c r="F66" s="6" t="str">
        <f t="shared" si="24"/>
        <v/>
      </c>
      <c r="G66" s="6" t="str">
        <f t="shared" si="24"/>
        <v/>
      </c>
      <c r="H66" s="6" t="str">
        <f t="shared" si="24"/>
        <v/>
      </c>
      <c r="I66" s="6" t="str">
        <f t="shared" si="24"/>
        <v/>
      </c>
      <c r="J66" s="6" t="str">
        <f t="shared" si="24"/>
        <v/>
      </c>
      <c r="K66" s="18">
        <f t="shared" si="24"/>
        <v>6.8330485836940609</v>
      </c>
      <c r="L66" s="6" t="str">
        <f t="shared" si="24"/>
        <v/>
      </c>
      <c r="M66" s="6" t="str">
        <f t="shared" si="24"/>
        <v/>
      </c>
      <c r="N66" s="6" t="str">
        <f t="shared" si="24"/>
        <v/>
      </c>
      <c r="O66" s="6" t="str">
        <f t="shared" si="24"/>
        <v/>
      </c>
      <c r="P66" s="6" t="str">
        <f t="shared" si="24"/>
        <v/>
      </c>
      <c r="Q66" s="6" t="str">
        <f t="shared" si="24"/>
        <v/>
      </c>
      <c r="R66" s="6" t="str">
        <f t="shared" si="24"/>
        <v/>
      </c>
      <c r="S66" s="6" t="str">
        <f t="shared" si="24"/>
        <v/>
      </c>
      <c r="T66" s="6" t="str">
        <f t="shared" si="24"/>
        <v/>
      </c>
      <c r="U66" s="6" t="str">
        <f t="shared" si="24"/>
        <v/>
      </c>
      <c r="V66" s="6" t="str">
        <f t="shared" si="24"/>
        <v/>
      </c>
      <c r="W66" s="6" t="str">
        <f t="shared" si="24"/>
        <v/>
      </c>
      <c r="X66" s="6" t="str">
        <f t="shared" si="24"/>
        <v/>
      </c>
      <c r="Y66" s="6" t="str">
        <f t="shared" si="24"/>
        <v/>
      </c>
      <c r="Z66" s="6" t="str">
        <f t="shared" si="24"/>
        <v/>
      </c>
      <c r="AA66" s="6" t="str">
        <f t="shared" si="24"/>
        <v/>
      </c>
      <c r="AB66" s="6" t="str">
        <f t="shared" si="24"/>
        <v/>
      </c>
      <c r="AC66" s="6" t="str">
        <f t="shared" si="24"/>
        <v/>
      </c>
    </row>
    <row r="67" spans="2:29" x14ac:dyDescent="0.25">
      <c r="B67" s="9"/>
      <c r="P67" s="6"/>
      <c r="Q67" s="6"/>
    </row>
    <row r="68" spans="2:29" x14ac:dyDescent="0.25">
      <c r="B68" s="38" t="s">
        <v>75</v>
      </c>
      <c r="C68" s="8"/>
      <c r="D68" s="39">
        <f>IRR(D64:AC64)</f>
        <v>0.15049694980984563</v>
      </c>
      <c r="E68" s="40"/>
    </row>
    <row r="69" spans="2:29" x14ac:dyDescent="0.25">
      <c r="B69" s="41" t="s">
        <v>27</v>
      </c>
      <c r="C69" s="29"/>
      <c r="D69" s="42">
        <f>MAX(E66:AC66)</f>
        <v>6.8330485836940609</v>
      </c>
      <c r="E69" s="48" t="s">
        <v>30</v>
      </c>
    </row>
    <row r="70" spans="2:29" x14ac:dyDescent="0.25">
      <c r="B70" s="41" t="s">
        <v>29</v>
      </c>
      <c r="C70" s="29"/>
      <c r="D70" s="44">
        <f>-SUM(E64:AC64)/D64</f>
        <v>4.3524971696162345</v>
      </c>
      <c r="E70" s="48"/>
    </row>
    <row r="71" spans="2:29" x14ac:dyDescent="0.25">
      <c r="B71" s="45" t="s">
        <v>28</v>
      </c>
      <c r="C71" s="11"/>
      <c r="D71" s="46">
        <f>-SUMPRODUCT(E46:AC46,E26:AC26)/D47</f>
        <v>16.755106562968606</v>
      </c>
      <c r="E71" s="49" t="s">
        <v>30</v>
      </c>
    </row>
  </sheetData>
  <pageMargins left="0.45" right="0.45" top="0.75" bottom="0.75" header="0.3" footer="0.3"/>
  <pageSetup scale="68" fitToWidth="2" orientation="landscape" r:id="rId1"/>
  <ignoredErrors>
    <ignoredError sqref="D71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53"/>
  <sheetViews>
    <sheetView showGridLines="0" topLeftCell="A10" zoomScale="85" zoomScaleNormal="85" workbookViewId="0">
      <selection activeCell="N49" sqref="N49"/>
    </sheetView>
  </sheetViews>
  <sheetFormatPr defaultColWidth="9.109375" defaultRowHeight="13.8" x14ac:dyDescent="0.25"/>
  <cols>
    <col min="1" max="1" width="2.6640625" style="3" customWidth="1"/>
    <col min="2" max="2" width="30.6640625" style="9" customWidth="1"/>
    <col min="3" max="3" width="14.44140625" style="2" bestFit="1" customWidth="1"/>
    <col min="4" max="4" width="11.33203125" style="3" customWidth="1"/>
    <col min="5" max="29" width="10.33203125" style="3" customWidth="1"/>
    <col min="30" max="16384" width="9.109375" style="3"/>
  </cols>
  <sheetData>
    <row r="1" spans="1:29" ht="16.8" x14ac:dyDescent="0.3">
      <c r="A1" s="33" t="s">
        <v>64</v>
      </c>
    </row>
    <row r="2" spans="1:29" x14ac:dyDescent="0.25">
      <c r="A2" s="3" t="s">
        <v>76</v>
      </c>
    </row>
    <row r="4" spans="1:29" x14ac:dyDescent="0.25">
      <c r="A4" s="27"/>
      <c r="B4" s="27" t="s">
        <v>52</v>
      </c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</row>
    <row r="5" spans="1:29" customFormat="1" ht="14.4" x14ac:dyDescent="0.3"/>
    <row r="6" spans="1:29" customFormat="1" ht="14.4" x14ac:dyDescent="0.3">
      <c r="B6" s="12"/>
      <c r="C6" s="14"/>
      <c r="D6" s="15" t="s">
        <v>57</v>
      </c>
    </row>
    <row r="7" spans="1:29" ht="14.4" x14ac:dyDescent="0.3">
      <c r="B7" s="9" t="s">
        <v>0</v>
      </c>
      <c r="C7" s="16">
        <v>200</v>
      </c>
      <c r="D7" s="3" t="s">
        <v>2</v>
      </c>
      <c r="F7"/>
      <c r="G7"/>
      <c r="H7"/>
      <c r="I7"/>
      <c r="J7"/>
      <c r="K7"/>
      <c r="L7"/>
    </row>
    <row r="8" spans="1:29" ht="14.4" x14ac:dyDescent="0.3">
      <c r="B8" s="9" t="s">
        <v>8</v>
      </c>
      <c r="C8" s="56">
        <v>0.4</v>
      </c>
      <c r="D8" s="3" t="s">
        <v>50</v>
      </c>
      <c r="F8"/>
      <c r="G8"/>
      <c r="H8"/>
      <c r="I8"/>
      <c r="J8"/>
      <c r="K8"/>
      <c r="L8"/>
    </row>
    <row r="9" spans="1:29" ht="14.4" x14ac:dyDescent="0.3">
      <c r="B9" s="9" t="s">
        <v>1</v>
      </c>
      <c r="C9" s="35">
        <v>40</v>
      </c>
      <c r="D9" s="3" t="s">
        <v>3</v>
      </c>
      <c r="F9"/>
      <c r="G9"/>
      <c r="H9"/>
      <c r="I9"/>
      <c r="J9"/>
      <c r="K9"/>
      <c r="L9"/>
    </row>
    <row r="10" spans="1:29" x14ac:dyDescent="0.25">
      <c r="B10" s="9" t="s">
        <v>5</v>
      </c>
      <c r="C10" s="35">
        <v>50</v>
      </c>
      <c r="D10" s="3" t="s">
        <v>4</v>
      </c>
    </row>
    <row r="11" spans="1:29" x14ac:dyDescent="0.25">
      <c r="B11" s="9" t="s">
        <v>6</v>
      </c>
      <c r="C11" s="56">
        <v>0.02</v>
      </c>
      <c r="D11" s="3" t="s">
        <v>50</v>
      </c>
    </row>
    <row r="12" spans="1:29" x14ac:dyDescent="0.25">
      <c r="B12" s="9" t="s">
        <v>7</v>
      </c>
      <c r="C12" s="56">
        <v>2.5000000000000001E-2</v>
      </c>
      <c r="D12" s="3" t="s">
        <v>50</v>
      </c>
    </row>
    <row r="13" spans="1:29" x14ac:dyDescent="0.25">
      <c r="B13" s="9" t="s">
        <v>41</v>
      </c>
      <c r="C13" s="56">
        <v>0.01</v>
      </c>
      <c r="D13" s="3" t="s">
        <v>50</v>
      </c>
    </row>
    <row r="14" spans="1:29" x14ac:dyDescent="0.25">
      <c r="B14" s="9" t="s">
        <v>42</v>
      </c>
      <c r="C14" s="56">
        <v>0.5</v>
      </c>
      <c r="D14" s="3" t="s">
        <v>50</v>
      </c>
    </row>
    <row r="15" spans="1:29" x14ac:dyDescent="0.25">
      <c r="B15" s="9" t="s">
        <v>19</v>
      </c>
      <c r="C15" s="56">
        <v>6.5000000000000002E-2</v>
      </c>
      <c r="D15" s="3" t="s">
        <v>50</v>
      </c>
    </row>
    <row r="16" spans="1:29" x14ac:dyDescent="0.25">
      <c r="B16" s="9" t="s">
        <v>43</v>
      </c>
      <c r="C16" s="16">
        <v>10</v>
      </c>
      <c r="D16" s="3" t="s">
        <v>77</v>
      </c>
    </row>
    <row r="17" spans="1:29" x14ac:dyDescent="0.25">
      <c r="B17" s="9" t="s">
        <v>53</v>
      </c>
      <c r="C17" s="16">
        <v>8760</v>
      </c>
      <c r="D17" s="3" t="s">
        <v>55</v>
      </c>
    </row>
    <row r="18" spans="1:29" x14ac:dyDescent="0.25">
      <c r="B18" s="9" t="s">
        <v>54</v>
      </c>
      <c r="C18" s="16">
        <v>1000</v>
      </c>
      <c r="D18" s="3" t="s">
        <v>56</v>
      </c>
    </row>
    <row r="19" spans="1:29" x14ac:dyDescent="0.25">
      <c r="B19" s="9" t="s">
        <v>24</v>
      </c>
      <c r="C19" s="57">
        <v>2100</v>
      </c>
      <c r="D19" s="3" t="s">
        <v>23</v>
      </c>
    </row>
    <row r="20" spans="1:29" x14ac:dyDescent="0.25">
      <c r="B20" s="9" t="s">
        <v>22</v>
      </c>
      <c r="C20" s="16">
        <f>C19*C7</f>
        <v>420000</v>
      </c>
      <c r="D20" s="3" t="s">
        <v>69</v>
      </c>
    </row>
    <row r="22" spans="1:29" x14ac:dyDescent="0.25">
      <c r="A22" s="27"/>
      <c r="B22" s="27" t="s">
        <v>82</v>
      </c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</row>
    <row r="23" spans="1:29" ht="14.4" x14ac:dyDescent="0.3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</row>
    <row r="24" spans="1:29" ht="14.4" x14ac:dyDescent="0.3">
      <c r="A24"/>
      <c r="B24" s="30" t="s">
        <v>66</v>
      </c>
      <c r="C24" s="31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</row>
    <row r="26" spans="1:29" x14ac:dyDescent="0.25">
      <c r="B26" s="12" t="s">
        <v>49</v>
      </c>
      <c r="C26" s="11"/>
      <c r="D26" s="13">
        <v>0</v>
      </c>
      <c r="E26" s="13">
        <v>1</v>
      </c>
      <c r="F26" s="13">
        <v>2</v>
      </c>
      <c r="G26" s="13">
        <v>3</v>
      </c>
      <c r="H26" s="13">
        <v>4</v>
      </c>
      <c r="I26" s="13">
        <v>5</v>
      </c>
      <c r="J26" s="13">
        <v>6</v>
      </c>
      <c r="K26" s="13">
        <v>7</v>
      </c>
      <c r="L26" s="13">
        <v>8</v>
      </c>
      <c r="M26" s="13">
        <v>9</v>
      </c>
      <c r="N26" s="13">
        <v>10</v>
      </c>
      <c r="O26" s="13">
        <v>11</v>
      </c>
      <c r="P26" s="13">
        <v>12</v>
      </c>
      <c r="Q26" s="13">
        <v>13</v>
      </c>
      <c r="R26" s="13">
        <v>14</v>
      </c>
      <c r="S26" s="13">
        <v>15</v>
      </c>
      <c r="T26" s="13">
        <v>16</v>
      </c>
      <c r="U26" s="13">
        <v>17</v>
      </c>
      <c r="V26" s="13">
        <v>18</v>
      </c>
      <c r="W26" s="13">
        <v>19</v>
      </c>
      <c r="X26" s="13">
        <v>20</v>
      </c>
      <c r="Y26" s="13">
        <v>21</v>
      </c>
      <c r="Z26" s="13">
        <v>22</v>
      </c>
      <c r="AA26" s="13">
        <v>23</v>
      </c>
      <c r="AB26" s="13">
        <v>24</v>
      </c>
      <c r="AC26" s="13">
        <v>25</v>
      </c>
    </row>
    <row r="28" spans="1:29" x14ac:dyDescent="0.25">
      <c r="B28" s="9" t="s">
        <v>9</v>
      </c>
      <c r="D28" s="16"/>
      <c r="E28" s="16">
        <f>$C$7*$C$8*$C$17</f>
        <v>700800</v>
      </c>
      <c r="F28" s="16">
        <f t="shared" ref="F28:AC28" si="0">$C$7*$C$8*$C$17</f>
        <v>700800</v>
      </c>
      <c r="G28" s="16">
        <f t="shared" si="0"/>
        <v>700800</v>
      </c>
      <c r="H28" s="16">
        <f t="shared" si="0"/>
        <v>700800</v>
      </c>
      <c r="I28" s="16">
        <f t="shared" si="0"/>
        <v>700800</v>
      </c>
      <c r="J28" s="16">
        <f t="shared" si="0"/>
        <v>700800</v>
      </c>
      <c r="K28" s="16">
        <f t="shared" si="0"/>
        <v>700800</v>
      </c>
      <c r="L28" s="16">
        <f t="shared" si="0"/>
        <v>700800</v>
      </c>
      <c r="M28" s="16">
        <f t="shared" si="0"/>
        <v>700800</v>
      </c>
      <c r="N28" s="16">
        <f t="shared" si="0"/>
        <v>700800</v>
      </c>
      <c r="O28" s="16">
        <f t="shared" si="0"/>
        <v>700800</v>
      </c>
      <c r="P28" s="16">
        <f t="shared" si="0"/>
        <v>700800</v>
      </c>
      <c r="Q28" s="16">
        <f t="shared" si="0"/>
        <v>700800</v>
      </c>
      <c r="R28" s="16">
        <f t="shared" si="0"/>
        <v>700800</v>
      </c>
      <c r="S28" s="16">
        <f t="shared" si="0"/>
        <v>700800</v>
      </c>
      <c r="T28" s="16">
        <f t="shared" si="0"/>
        <v>700800</v>
      </c>
      <c r="U28" s="16">
        <f t="shared" si="0"/>
        <v>700800</v>
      </c>
      <c r="V28" s="16">
        <f t="shared" si="0"/>
        <v>700800</v>
      </c>
      <c r="W28" s="16">
        <f t="shared" si="0"/>
        <v>700800</v>
      </c>
      <c r="X28" s="16">
        <f t="shared" si="0"/>
        <v>700800</v>
      </c>
      <c r="Y28" s="16">
        <f t="shared" si="0"/>
        <v>700800</v>
      </c>
      <c r="Z28" s="16">
        <f t="shared" si="0"/>
        <v>700800</v>
      </c>
      <c r="AA28" s="16">
        <f t="shared" si="0"/>
        <v>700800</v>
      </c>
      <c r="AB28" s="16">
        <f t="shared" si="0"/>
        <v>700800</v>
      </c>
      <c r="AC28" s="16">
        <f t="shared" si="0"/>
        <v>700800</v>
      </c>
    </row>
    <row r="29" spans="1:29" x14ac:dyDescent="0.25"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</row>
    <row r="30" spans="1:29" x14ac:dyDescent="0.25">
      <c r="B30" s="9" t="s">
        <v>12</v>
      </c>
      <c r="D30" s="16"/>
      <c r="E30" s="18">
        <f t="shared" ref="E30:AC30" si="1">(1+$C$11)^(E26-1)</f>
        <v>1</v>
      </c>
      <c r="F30" s="18">
        <f t="shared" si="1"/>
        <v>1.02</v>
      </c>
      <c r="G30" s="18">
        <f t="shared" si="1"/>
        <v>1.0404</v>
      </c>
      <c r="H30" s="18">
        <f t="shared" si="1"/>
        <v>1.0612079999999999</v>
      </c>
      <c r="I30" s="18">
        <f t="shared" si="1"/>
        <v>1.08243216</v>
      </c>
      <c r="J30" s="18">
        <f t="shared" si="1"/>
        <v>1.1040808032</v>
      </c>
      <c r="K30" s="18">
        <f t="shared" si="1"/>
        <v>1.1261624192640001</v>
      </c>
      <c r="L30" s="18">
        <f t="shared" si="1"/>
        <v>1.1486856676492798</v>
      </c>
      <c r="M30" s="18">
        <f t="shared" si="1"/>
        <v>1.1716593810022655</v>
      </c>
      <c r="N30" s="18">
        <f t="shared" si="1"/>
        <v>1.1950925686223108</v>
      </c>
      <c r="O30" s="18">
        <f t="shared" si="1"/>
        <v>1.2189944199947571</v>
      </c>
      <c r="P30" s="18">
        <f t="shared" si="1"/>
        <v>1.243374308394652</v>
      </c>
      <c r="Q30" s="18">
        <f t="shared" si="1"/>
        <v>1.2682417945625453</v>
      </c>
      <c r="R30" s="18">
        <f t="shared" si="1"/>
        <v>1.2936066304537961</v>
      </c>
      <c r="S30" s="18">
        <f t="shared" si="1"/>
        <v>1.3194787630628722</v>
      </c>
      <c r="T30" s="18">
        <f t="shared" si="1"/>
        <v>1.3458683383241292</v>
      </c>
      <c r="U30" s="18">
        <f t="shared" si="1"/>
        <v>1.372785705090612</v>
      </c>
      <c r="V30" s="18">
        <f t="shared" si="1"/>
        <v>1.4002414191924244</v>
      </c>
      <c r="W30" s="18">
        <f t="shared" si="1"/>
        <v>1.4282462475762727</v>
      </c>
      <c r="X30" s="18">
        <f t="shared" si="1"/>
        <v>1.4568111725277981</v>
      </c>
      <c r="Y30" s="18">
        <f t="shared" si="1"/>
        <v>1.4859473959783542</v>
      </c>
      <c r="Z30" s="18">
        <f t="shared" si="1"/>
        <v>1.5156663438979212</v>
      </c>
      <c r="AA30" s="18">
        <f t="shared" si="1"/>
        <v>1.5459796707758797</v>
      </c>
      <c r="AB30" s="18">
        <f t="shared" si="1"/>
        <v>1.576899264191397</v>
      </c>
      <c r="AC30" s="18">
        <f t="shared" si="1"/>
        <v>1.608437249475225</v>
      </c>
    </row>
    <row r="31" spans="1:29" x14ac:dyDescent="0.25">
      <c r="B31" s="9" t="s">
        <v>7</v>
      </c>
      <c r="D31" s="16"/>
      <c r="E31" s="18">
        <f t="shared" ref="E31:AC31" si="2">(1+$C$12)^(E26-1)</f>
        <v>1</v>
      </c>
      <c r="F31" s="18">
        <f t="shared" si="2"/>
        <v>1.0249999999999999</v>
      </c>
      <c r="G31" s="18">
        <f t="shared" si="2"/>
        <v>1.0506249999999999</v>
      </c>
      <c r="H31" s="18">
        <f t="shared" si="2"/>
        <v>1.0768906249999999</v>
      </c>
      <c r="I31" s="18">
        <f t="shared" si="2"/>
        <v>1.1038128906249998</v>
      </c>
      <c r="J31" s="18">
        <f t="shared" si="2"/>
        <v>1.1314082128906247</v>
      </c>
      <c r="K31" s="18">
        <f t="shared" si="2"/>
        <v>1.1596934182128902</v>
      </c>
      <c r="L31" s="18">
        <f t="shared" si="2"/>
        <v>1.1886857536682125</v>
      </c>
      <c r="M31" s="18">
        <f t="shared" si="2"/>
        <v>1.2184028975099177</v>
      </c>
      <c r="N31" s="18">
        <f t="shared" si="2"/>
        <v>1.2488629699476654</v>
      </c>
      <c r="O31" s="18">
        <f t="shared" si="2"/>
        <v>1.2800845441963571</v>
      </c>
      <c r="P31" s="18">
        <f t="shared" si="2"/>
        <v>1.312086657801266</v>
      </c>
      <c r="Q31" s="18">
        <f t="shared" si="2"/>
        <v>1.3448888242462975</v>
      </c>
      <c r="R31" s="18">
        <f t="shared" si="2"/>
        <v>1.3785110448524549</v>
      </c>
      <c r="S31" s="18">
        <f t="shared" si="2"/>
        <v>1.4129738209737661</v>
      </c>
      <c r="T31" s="18">
        <f t="shared" si="2"/>
        <v>1.4482981664981105</v>
      </c>
      <c r="U31" s="18">
        <f t="shared" si="2"/>
        <v>1.4845056206605631</v>
      </c>
      <c r="V31" s="18">
        <f t="shared" si="2"/>
        <v>1.521618261177077</v>
      </c>
      <c r="W31" s="18">
        <f t="shared" si="2"/>
        <v>1.559658717706504</v>
      </c>
      <c r="X31" s="18">
        <f t="shared" si="2"/>
        <v>1.5986501856491666</v>
      </c>
      <c r="Y31" s="18">
        <f t="shared" si="2"/>
        <v>1.6386164402903955</v>
      </c>
      <c r="Z31" s="18">
        <f t="shared" si="2"/>
        <v>1.6795818512976552</v>
      </c>
      <c r="AA31" s="18">
        <f t="shared" si="2"/>
        <v>1.7215713975800966</v>
      </c>
      <c r="AB31" s="18">
        <f t="shared" si="2"/>
        <v>1.7646106825195991</v>
      </c>
      <c r="AC31" s="18">
        <f t="shared" si="2"/>
        <v>1.8087259495825889</v>
      </c>
    </row>
    <row r="32" spans="1:29" x14ac:dyDescent="0.25"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</row>
    <row r="33" spans="2:29" x14ac:dyDescent="0.25">
      <c r="B33" s="9" t="s">
        <v>10</v>
      </c>
      <c r="D33" s="16"/>
      <c r="E33" s="50">
        <f>$C$10*E30</f>
        <v>50</v>
      </c>
      <c r="F33" s="50">
        <f t="shared" ref="F33:AC33" si="3">$C$10*F30</f>
        <v>51</v>
      </c>
      <c r="G33" s="50">
        <f t="shared" si="3"/>
        <v>52.019999999999996</v>
      </c>
      <c r="H33" s="50">
        <f t="shared" si="3"/>
        <v>53.060399999999994</v>
      </c>
      <c r="I33" s="50">
        <f t="shared" si="3"/>
        <v>54.121608000000002</v>
      </c>
      <c r="J33" s="50">
        <f t="shared" si="3"/>
        <v>55.204040159999998</v>
      </c>
      <c r="K33" s="50">
        <f t="shared" si="3"/>
        <v>56.308120963200004</v>
      </c>
      <c r="L33" s="50">
        <f t="shared" si="3"/>
        <v>57.434283382463988</v>
      </c>
      <c r="M33" s="50">
        <f t="shared" si="3"/>
        <v>58.582969050113277</v>
      </c>
      <c r="N33" s="50">
        <f t="shared" si="3"/>
        <v>59.754628431115542</v>
      </c>
      <c r="O33" s="50">
        <f t="shared" si="3"/>
        <v>60.949720999737856</v>
      </c>
      <c r="P33" s="50">
        <f t="shared" si="3"/>
        <v>62.1687154197326</v>
      </c>
      <c r="Q33" s="50">
        <f t="shared" si="3"/>
        <v>63.412089728127263</v>
      </c>
      <c r="R33" s="50">
        <f t="shared" si="3"/>
        <v>64.680331522689798</v>
      </c>
      <c r="S33" s="50">
        <f t="shared" si="3"/>
        <v>65.973938153143607</v>
      </c>
      <c r="T33" s="50">
        <f t="shared" si="3"/>
        <v>67.293416916206468</v>
      </c>
      <c r="U33" s="50">
        <f t="shared" si="3"/>
        <v>68.639285254530606</v>
      </c>
      <c r="V33" s="50">
        <f t="shared" si="3"/>
        <v>70.012070959621227</v>
      </c>
      <c r="W33" s="50">
        <f t="shared" si="3"/>
        <v>71.412312378813638</v>
      </c>
      <c r="X33" s="50">
        <f t="shared" si="3"/>
        <v>72.840558626389907</v>
      </c>
      <c r="Y33" s="50">
        <f t="shared" si="3"/>
        <v>74.297369798917714</v>
      </c>
      <c r="Z33" s="50">
        <f t="shared" si="3"/>
        <v>75.783317194896057</v>
      </c>
      <c r="AA33" s="50">
        <f t="shared" si="3"/>
        <v>77.298983538793991</v>
      </c>
      <c r="AB33" s="50">
        <f t="shared" si="3"/>
        <v>78.844963209569855</v>
      </c>
      <c r="AC33" s="50">
        <f t="shared" si="3"/>
        <v>80.421862473761252</v>
      </c>
    </row>
    <row r="34" spans="2:29" x14ac:dyDescent="0.25"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</row>
    <row r="35" spans="2:29" x14ac:dyDescent="0.25">
      <c r="B35" s="9" t="s">
        <v>58</v>
      </c>
      <c r="D35" s="16"/>
      <c r="E35" s="16">
        <f>E33*E28/$C$18</f>
        <v>35040</v>
      </c>
      <c r="F35" s="16">
        <f t="shared" ref="F35:AC35" si="4">F33*F28/$C$18</f>
        <v>35740.800000000003</v>
      </c>
      <c r="G35" s="16">
        <f t="shared" si="4"/>
        <v>36455.616000000002</v>
      </c>
      <c r="H35" s="16">
        <f t="shared" si="4"/>
        <v>37184.728319999995</v>
      </c>
      <c r="I35" s="16">
        <f t="shared" si="4"/>
        <v>37928.422886399996</v>
      </c>
      <c r="J35" s="16">
        <f t="shared" si="4"/>
        <v>38686.991344128</v>
      </c>
      <c r="K35" s="16">
        <f t="shared" si="4"/>
        <v>39460.731171010564</v>
      </c>
      <c r="L35" s="16">
        <f t="shared" si="4"/>
        <v>40249.945794430765</v>
      </c>
      <c r="M35" s="16">
        <f t="shared" si="4"/>
        <v>41054.944710319382</v>
      </c>
      <c r="N35" s="16">
        <f t="shared" si="4"/>
        <v>41876.043604525774</v>
      </c>
      <c r="O35" s="16">
        <f t="shared" si="4"/>
        <v>42713.564476616295</v>
      </c>
      <c r="P35" s="16">
        <f t="shared" si="4"/>
        <v>43567.835766148608</v>
      </c>
      <c r="Q35" s="16">
        <f t="shared" si="4"/>
        <v>44439.192481471582</v>
      </c>
      <c r="R35" s="16">
        <f t="shared" si="4"/>
        <v>45327.97633110101</v>
      </c>
      <c r="S35" s="16">
        <f t="shared" si="4"/>
        <v>46234.535857723044</v>
      </c>
      <c r="T35" s="16">
        <f t="shared" si="4"/>
        <v>47159.226574877495</v>
      </c>
      <c r="U35" s="16">
        <f t="shared" si="4"/>
        <v>48102.411106375046</v>
      </c>
      <c r="V35" s="16">
        <f t="shared" si="4"/>
        <v>49064.459328502555</v>
      </c>
      <c r="W35" s="16">
        <f t="shared" si="4"/>
        <v>50045.748515072599</v>
      </c>
      <c r="X35" s="16">
        <f t="shared" si="4"/>
        <v>51046.663485374047</v>
      </c>
      <c r="Y35" s="16">
        <f t="shared" si="4"/>
        <v>52067.596755081533</v>
      </c>
      <c r="Z35" s="16">
        <f t="shared" si="4"/>
        <v>53108.948690183155</v>
      </c>
      <c r="AA35" s="16">
        <f t="shared" si="4"/>
        <v>54171.12766398683</v>
      </c>
      <c r="AB35" s="16">
        <f t="shared" si="4"/>
        <v>55254.550217266551</v>
      </c>
      <c r="AC35" s="16">
        <f t="shared" si="4"/>
        <v>56359.641221611884</v>
      </c>
    </row>
    <row r="36" spans="2:29" x14ac:dyDescent="0.25">
      <c r="B36" s="21" t="s">
        <v>59</v>
      </c>
      <c r="D36" s="16"/>
      <c r="E36" s="16">
        <f>-$C$9*$C$7*E31</f>
        <v>-8000</v>
      </c>
      <c r="F36" s="16">
        <f t="shared" ref="F36:AC36" si="5">-$C$9*$C$7*F31</f>
        <v>-8200</v>
      </c>
      <c r="G36" s="16">
        <f t="shared" si="5"/>
        <v>-8405</v>
      </c>
      <c r="H36" s="16">
        <f t="shared" si="5"/>
        <v>-8615.1249999999982</v>
      </c>
      <c r="I36" s="16">
        <f t="shared" si="5"/>
        <v>-8830.5031249999975</v>
      </c>
      <c r="J36" s="16">
        <f t="shared" si="5"/>
        <v>-9051.2657031249964</v>
      </c>
      <c r="K36" s="16">
        <f t="shared" si="5"/>
        <v>-9277.5473457031221</v>
      </c>
      <c r="L36" s="16">
        <f t="shared" si="5"/>
        <v>-9509.4860293457004</v>
      </c>
      <c r="M36" s="16">
        <f t="shared" si="5"/>
        <v>-9747.2231800793415</v>
      </c>
      <c r="N36" s="16">
        <f t="shared" si="5"/>
        <v>-9990.9037595813243</v>
      </c>
      <c r="O36" s="16">
        <f t="shared" si="5"/>
        <v>-10240.676353570856</v>
      </c>
      <c r="P36" s="16">
        <f t="shared" si="5"/>
        <v>-10496.693262410128</v>
      </c>
      <c r="Q36" s="16">
        <f t="shared" si="5"/>
        <v>-10759.110593970379</v>
      </c>
      <c r="R36" s="16">
        <f t="shared" si="5"/>
        <v>-11028.088358819639</v>
      </c>
      <c r="S36" s="16">
        <f t="shared" si="5"/>
        <v>-11303.790567790129</v>
      </c>
      <c r="T36" s="16">
        <f t="shared" si="5"/>
        <v>-11586.385331984884</v>
      </c>
      <c r="U36" s="16">
        <f t="shared" si="5"/>
        <v>-11876.044965284505</v>
      </c>
      <c r="V36" s="16">
        <f t="shared" si="5"/>
        <v>-12172.946089416617</v>
      </c>
      <c r="W36" s="16">
        <f t="shared" si="5"/>
        <v>-12477.269741652031</v>
      </c>
      <c r="X36" s="16">
        <f t="shared" si="5"/>
        <v>-12789.201485193333</v>
      </c>
      <c r="Y36" s="16">
        <f t="shared" si="5"/>
        <v>-13108.931522323164</v>
      </c>
      <c r="Z36" s="16">
        <f t="shared" si="5"/>
        <v>-13436.654810381242</v>
      </c>
      <c r="AA36" s="16">
        <f t="shared" si="5"/>
        <v>-13772.571180640773</v>
      </c>
      <c r="AB36" s="16">
        <f t="shared" si="5"/>
        <v>-14116.885460156793</v>
      </c>
      <c r="AC36" s="16">
        <f t="shared" si="5"/>
        <v>-14469.807596660712</v>
      </c>
    </row>
    <row r="37" spans="2:29" x14ac:dyDescent="0.25">
      <c r="B37" s="22" t="s">
        <v>11</v>
      </c>
      <c r="C37" s="8"/>
      <c r="D37" s="36"/>
      <c r="E37" s="36">
        <f>E35+E36</f>
        <v>27040</v>
      </c>
      <c r="F37" s="36">
        <f t="shared" ref="F37:AC37" si="6">F35+F36</f>
        <v>27540.800000000003</v>
      </c>
      <c r="G37" s="36">
        <f t="shared" si="6"/>
        <v>28050.616000000002</v>
      </c>
      <c r="H37" s="36">
        <f t="shared" si="6"/>
        <v>28569.603319999995</v>
      </c>
      <c r="I37" s="36">
        <f t="shared" si="6"/>
        <v>29097.9197614</v>
      </c>
      <c r="J37" s="36">
        <f t="shared" si="6"/>
        <v>29635.725641003002</v>
      </c>
      <c r="K37" s="36">
        <f t="shared" si="6"/>
        <v>30183.183825307442</v>
      </c>
      <c r="L37" s="36">
        <f t="shared" si="6"/>
        <v>30740.459765085063</v>
      </c>
      <c r="M37" s="36">
        <f t="shared" si="6"/>
        <v>31307.72153024004</v>
      </c>
      <c r="N37" s="36">
        <f t="shared" si="6"/>
        <v>31885.13984494445</v>
      </c>
      <c r="O37" s="36">
        <f t="shared" si="6"/>
        <v>32472.888123045439</v>
      </c>
      <c r="P37" s="36">
        <f t="shared" si="6"/>
        <v>33071.142503738476</v>
      </c>
      <c r="Q37" s="36">
        <f t="shared" si="6"/>
        <v>33680.081887501205</v>
      </c>
      <c r="R37" s="36">
        <f t="shared" si="6"/>
        <v>34299.887972281373</v>
      </c>
      <c r="S37" s="36">
        <f t="shared" si="6"/>
        <v>34930.745289932915</v>
      </c>
      <c r="T37" s="36">
        <f t="shared" si="6"/>
        <v>35572.841242892609</v>
      </c>
      <c r="U37" s="36">
        <f t="shared" si="6"/>
        <v>36226.366141090541</v>
      </c>
      <c r="V37" s="36">
        <f t="shared" si="6"/>
        <v>36891.513239085936</v>
      </c>
      <c r="W37" s="36">
        <f t="shared" si="6"/>
        <v>37568.478773420567</v>
      </c>
      <c r="X37" s="36">
        <f t="shared" si="6"/>
        <v>38257.462000180712</v>
      </c>
      <c r="Y37" s="36">
        <f t="shared" si="6"/>
        <v>38958.665232758372</v>
      </c>
      <c r="Z37" s="36">
        <f t="shared" si="6"/>
        <v>39672.293879801917</v>
      </c>
      <c r="AA37" s="36">
        <f t="shared" si="6"/>
        <v>40398.556483346059</v>
      </c>
      <c r="AB37" s="36">
        <f t="shared" si="6"/>
        <v>41137.664757109756</v>
      </c>
      <c r="AC37" s="36">
        <f t="shared" si="6"/>
        <v>41889.83362495117</v>
      </c>
    </row>
    <row r="38" spans="2:29" x14ac:dyDescent="0.25"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</row>
    <row r="39" spans="2:29" x14ac:dyDescent="0.25">
      <c r="B39" s="9" t="s">
        <v>60</v>
      </c>
      <c r="D39" s="16"/>
      <c r="E39" s="16">
        <f>E37</f>
        <v>27040</v>
      </c>
      <c r="F39" s="16">
        <f t="shared" ref="F39:AC39" si="7">F37</f>
        <v>27540.800000000003</v>
      </c>
      <c r="G39" s="16">
        <f t="shared" si="7"/>
        <v>28050.616000000002</v>
      </c>
      <c r="H39" s="16">
        <f t="shared" si="7"/>
        <v>28569.603319999995</v>
      </c>
      <c r="I39" s="16">
        <f t="shared" si="7"/>
        <v>29097.9197614</v>
      </c>
      <c r="J39" s="16">
        <f t="shared" si="7"/>
        <v>29635.725641003002</v>
      </c>
      <c r="K39" s="16">
        <f t="shared" si="7"/>
        <v>30183.183825307442</v>
      </c>
      <c r="L39" s="16">
        <f t="shared" si="7"/>
        <v>30740.459765085063</v>
      </c>
      <c r="M39" s="16">
        <f t="shared" si="7"/>
        <v>31307.72153024004</v>
      </c>
      <c r="N39" s="16">
        <f t="shared" si="7"/>
        <v>31885.13984494445</v>
      </c>
      <c r="O39" s="16">
        <f t="shared" si="7"/>
        <v>32472.888123045439</v>
      </c>
      <c r="P39" s="16">
        <f t="shared" si="7"/>
        <v>33071.142503738476</v>
      </c>
      <c r="Q39" s="16">
        <f t="shared" si="7"/>
        <v>33680.081887501205</v>
      </c>
      <c r="R39" s="16">
        <f t="shared" si="7"/>
        <v>34299.887972281373</v>
      </c>
      <c r="S39" s="16">
        <f t="shared" si="7"/>
        <v>34930.745289932915</v>
      </c>
      <c r="T39" s="16">
        <f t="shared" si="7"/>
        <v>35572.841242892609</v>
      </c>
      <c r="U39" s="16">
        <f t="shared" si="7"/>
        <v>36226.366141090541</v>
      </c>
      <c r="V39" s="16">
        <f t="shared" si="7"/>
        <v>36891.513239085936</v>
      </c>
      <c r="W39" s="16">
        <f t="shared" si="7"/>
        <v>37568.478773420567</v>
      </c>
      <c r="X39" s="16">
        <f t="shared" si="7"/>
        <v>38257.462000180712</v>
      </c>
      <c r="Y39" s="16">
        <f t="shared" si="7"/>
        <v>38958.665232758372</v>
      </c>
      <c r="Z39" s="16">
        <f t="shared" si="7"/>
        <v>39672.293879801917</v>
      </c>
      <c r="AA39" s="16">
        <f t="shared" si="7"/>
        <v>40398.556483346059</v>
      </c>
      <c r="AB39" s="16">
        <f t="shared" si="7"/>
        <v>41137.664757109756</v>
      </c>
      <c r="AC39" s="16">
        <f t="shared" si="7"/>
        <v>41889.83362495117</v>
      </c>
    </row>
    <row r="40" spans="2:29" x14ac:dyDescent="0.25"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</row>
    <row r="41" spans="2:29" x14ac:dyDescent="0.25">
      <c r="B41" s="9" t="s">
        <v>16</v>
      </c>
      <c r="D41" s="16"/>
      <c r="E41" s="16">
        <f t="shared" ref="E41:AC41" si="8">IF(E26&lt;=$C$16,D45,"")</f>
        <v>128652.09357981697</v>
      </c>
      <c r="F41" s="16">
        <f t="shared" si="8"/>
        <v>118670.02615326193</v>
      </c>
      <c r="G41" s="16">
        <f t="shared" si="8"/>
        <v>108113.14153534386</v>
      </c>
      <c r="H41" s="16">
        <f t="shared" si="8"/>
        <v>96958.25016734346</v>
      </c>
      <c r="I41" s="16">
        <f t="shared" si="8"/>
        <v>85181.331169883037</v>
      </c>
      <c r="J41" s="16">
        <f t="shared" si="8"/>
        <v>72757.504084305154</v>
      </c>
      <c r="K41" s="16">
        <f t="shared" si="8"/>
        <v>59660.999678644483</v>
      </c>
      <c r="L41" s="16">
        <f t="shared" si="8"/>
        <v>45865.129787647624</v>
      </c>
      <c r="M41" s="16">
        <f t="shared" si="8"/>
        <v>31342.256155304556</v>
      </c>
      <c r="N41" s="16">
        <f t="shared" si="8"/>
        <v>16063.758247332848</v>
      </c>
      <c r="O41" s="16" t="str">
        <f t="shared" si="8"/>
        <v/>
      </c>
      <c r="P41" s="16" t="str">
        <f t="shared" si="8"/>
        <v/>
      </c>
      <c r="Q41" s="16" t="str">
        <f t="shared" si="8"/>
        <v/>
      </c>
      <c r="R41" s="16" t="str">
        <f t="shared" si="8"/>
        <v/>
      </c>
      <c r="S41" s="16" t="str">
        <f t="shared" si="8"/>
        <v/>
      </c>
      <c r="T41" s="16" t="str">
        <f t="shared" si="8"/>
        <v/>
      </c>
      <c r="U41" s="16" t="str">
        <f t="shared" si="8"/>
        <v/>
      </c>
      <c r="V41" s="16" t="str">
        <f t="shared" si="8"/>
        <v/>
      </c>
      <c r="W41" s="16" t="str">
        <f t="shared" si="8"/>
        <v/>
      </c>
      <c r="X41" s="16" t="str">
        <f t="shared" si="8"/>
        <v/>
      </c>
      <c r="Y41" s="16" t="str">
        <f t="shared" si="8"/>
        <v/>
      </c>
      <c r="Z41" s="16" t="str">
        <f t="shared" si="8"/>
        <v/>
      </c>
      <c r="AA41" s="16" t="str">
        <f t="shared" si="8"/>
        <v/>
      </c>
      <c r="AB41" s="16" t="str">
        <f t="shared" si="8"/>
        <v/>
      </c>
      <c r="AC41" s="16" t="str">
        <f t="shared" si="8"/>
        <v/>
      </c>
    </row>
    <row r="42" spans="2:29" x14ac:dyDescent="0.25">
      <c r="B42" s="21" t="s">
        <v>61</v>
      </c>
      <c r="D42" s="16"/>
      <c r="E42" s="16">
        <f t="shared" ref="E42:AC42" si="9">IF(E26&lt;=$C$16,-D45*$C$15,"")</f>
        <v>-8362.3860826881028</v>
      </c>
      <c r="F42" s="16">
        <f t="shared" si="9"/>
        <v>-7713.5516999620259</v>
      </c>
      <c r="G42" s="16">
        <f t="shared" si="9"/>
        <v>-7027.3541997973516</v>
      </c>
      <c r="H42" s="16">
        <f t="shared" si="9"/>
        <v>-6302.2862608773248</v>
      </c>
      <c r="I42" s="16">
        <f t="shared" si="9"/>
        <v>-5536.7865260423978</v>
      </c>
      <c r="J42" s="16">
        <f t="shared" si="9"/>
        <v>-4729.2377654798347</v>
      </c>
      <c r="K42" s="16">
        <f t="shared" si="9"/>
        <v>-3877.9649791118914</v>
      </c>
      <c r="L42" s="16">
        <f t="shared" si="9"/>
        <v>-2981.2334361970957</v>
      </c>
      <c r="M42" s="16">
        <f t="shared" si="9"/>
        <v>-2037.2466500947962</v>
      </c>
      <c r="N42" s="16">
        <f t="shared" si="9"/>
        <v>-1044.1442860766351</v>
      </c>
      <c r="O42" s="16" t="str">
        <f t="shared" si="9"/>
        <v/>
      </c>
      <c r="P42" s="16" t="str">
        <f t="shared" si="9"/>
        <v/>
      </c>
      <c r="Q42" s="16" t="str">
        <f t="shared" si="9"/>
        <v/>
      </c>
      <c r="R42" s="16" t="str">
        <f t="shared" si="9"/>
        <v/>
      </c>
      <c r="S42" s="16" t="str">
        <f t="shared" si="9"/>
        <v/>
      </c>
      <c r="T42" s="16" t="str">
        <f t="shared" si="9"/>
        <v/>
      </c>
      <c r="U42" s="16" t="str">
        <f t="shared" si="9"/>
        <v/>
      </c>
      <c r="V42" s="16" t="str">
        <f t="shared" si="9"/>
        <v/>
      </c>
      <c r="W42" s="16" t="str">
        <f t="shared" si="9"/>
        <v/>
      </c>
      <c r="X42" s="16" t="str">
        <f t="shared" si="9"/>
        <v/>
      </c>
      <c r="Y42" s="16" t="str">
        <f t="shared" si="9"/>
        <v/>
      </c>
      <c r="Z42" s="16" t="str">
        <f t="shared" si="9"/>
        <v/>
      </c>
      <c r="AA42" s="16" t="str">
        <f t="shared" si="9"/>
        <v/>
      </c>
      <c r="AB42" s="16" t="str">
        <f t="shared" si="9"/>
        <v/>
      </c>
      <c r="AC42" s="16" t="str">
        <f t="shared" si="9"/>
        <v/>
      </c>
    </row>
    <row r="43" spans="2:29" x14ac:dyDescent="0.25">
      <c r="B43" s="21" t="s">
        <v>78</v>
      </c>
      <c r="D43" s="16"/>
      <c r="E43" s="16">
        <f>IF(E26&lt;=$C$16,-$C$13*$D$45,"")</f>
        <v>-1286.5209357981696</v>
      </c>
      <c r="F43" s="16">
        <f t="shared" ref="F43:AC43" si="10">IF(F26&lt;=$C$16,-$C$13*$D$45,"")</f>
        <v>-1286.5209357981696</v>
      </c>
      <c r="G43" s="16">
        <f t="shared" si="10"/>
        <v>-1286.5209357981696</v>
      </c>
      <c r="H43" s="16">
        <f t="shared" si="10"/>
        <v>-1286.5209357981696</v>
      </c>
      <c r="I43" s="16">
        <f t="shared" si="10"/>
        <v>-1286.5209357981696</v>
      </c>
      <c r="J43" s="16">
        <f t="shared" si="10"/>
        <v>-1286.5209357981696</v>
      </c>
      <c r="K43" s="16">
        <f t="shared" si="10"/>
        <v>-1286.5209357981696</v>
      </c>
      <c r="L43" s="16">
        <f t="shared" si="10"/>
        <v>-1286.5209357981696</v>
      </c>
      <c r="M43" s="16">
        <f t="shared" si="10"/>
        <v>-1286.5209357981696</v>
      </c>
      <c r="N43" s="16">
        <f t="shared" si="10"/>
        <v>-1286.5209357981696</v>
      </c>
      <c r="O43" s="16" t="str">
        <f t="shared" si="10"/>
        <v/>
      </c>
      <c r="P43" s="16" t="str">
        <f t="shared" si="10"/>
        <v/>
      </c>
      <c r="Q43" s="16" t="str">
        <f t="shared" si="10"/>
        <v/>
      </c>
      <c r="R43" s="16" t="str">
        <f t="shared" si="10"/>
        <v/>
      </c>
      <c r="S43" s="16" t="str">
        <f t="shared" si="10"/>
        <v/>
      </c>
      <c r="T43" s="16" t="str">
        <f t="shared" si="10"/>
        <v/>
      </c>
      <c r="U43" s="16" t="str">
        <f t="shared" si="10"/>
        <v/>
      </c>
      <c r="V43" s="16" t="str">
        <f t="shared" si="10"/>
        <v/>
      </c>
      <c r="W43" s="16" t="str">
        <f t="shared" si="10"/>
        <v/>
      </c>
      <c r="X43" s="16" t="str">
        <f t="shared" si="10"/>
        <v/>
      </c>
      <c r="Y43" s="16" t="str">
        <f t="shared" si="10"/>
        <v/>
      </c>
      <c r="Z43" s="16" t="str">
        <f t="shared" si="10"/>
        <v/>
      </c>
      <c r="AA43" s="16" t="str">
        <f t="shared" si="10"/>
        <v/>
      </c>
      <c r="AB43" s="16" t="str">
        <f t="shared" si="10"/>
        <v/>
      </c>
      <c r="AC43" s="16" t="str">
        <f t="shared" si="10"/>
        <v/>
      </c>
    </row>
    <row r="44" spans="2:29" x14ac:dyDescent="0.25">
      <c r="B44" s="21" t="s">
        <v>79</v>
      </c>
      <c r="D44" s="16"/>
      <c r="E44" s="16">
        <f>IF(E26&lt;=$C$16,-$C$14*(E39+SUM(E42,E43)),"")</f>
        <v>-8695.5464907568639</v>
      </c>
      <c r="F44" s="16">
        <f t="shared" ref="F44:AC44" si="11">IF(F26&lt;=$C$16,-$C$14*(F39+SUM(F42,F43)),"")</f>
        <v>-9270.3636821199034</v>
      </c>
      <c r="G44" s="16">
        <f t="shared" si="11"/>
        <v>-9868.3704322022404</v>
      </c>
      <c r="H44" s="16">
        <f t="shared" si="11"/>
        <v>-10490.39806166225</v>
      </c>
      <c r="I44" s="16">
        <f t="shared" si="11"/>
        <v>-11137.306149779717</v>
      </c>
      <c r="J44" s="16">
        <f t="shared" si="11"/>
        <v>-11809.983469862498</v>
      </c>
      <c r="K44" s="16">
        <f t="shared" si="11"/>
        <v>-12509.34895519869</v>
      </c>
      <c r="L44" s="16">
        <f t="shared" si="11"/>
        <v>-13236.352696544898</v>
      </c>
      <c r="M44" s="16">
        <f t="shared" si="11"/>
        <v>-13991.976972173537</v>
      </c>
      <c r="N44" s="16">
        <f t="shared" si="11"/>
        <v>-14777.237311534822</v>
      </c>
      <c r="O44" s="16" t="str">
        <f t="shared" si="11"/>
        <v/>
      </c>
      <c r="P44" s="16" t="str">
        <f t="shared" si="11"/>
        <v/>
      </c>
      <c r="Q44" s="16" t="str">
        <f t="shared" si="11"/>
        <v/>
      </c>
      <c r="R44" s="16" t="str">
        <f t="shared" si="11"/>
        <v/>
      </c>
      <c r="S44" s="16" t="str">
        <f t="shared" si="11"/>
        <v/>
      </c>
      <c r="T44" s="16" t="str">
        <f t="shared" si="11"/>
        <v/>
      </c>
      <c r="U44" s="16" t="str">
        <f t="shared" si="11"/>
        <v/>
      </c>
      <c r="V44" s="16" t="str">
        <f t="shared" si="11"/>
        <v/>
      </c>
      <c r="W44" s="16" t="str">
        <f t="shared" si="11"/>
        <v/>
      </c>
      <c r="X44" s="16" t="str">
        <f t="shared" si="11"/>
        <v/>
      </c>
      <c r="Y44" s="16" t="str">
        <f t="shared" si="11"/>
        <v/>
      </c>
      <c r="Z44" s="16" t="str">
        <f t="shared" si="11"/>
        <v/>
      </c>
      <c r="AA44" s="16" t="str">
        <f t="shared" si="11"/>
        <v/>
      </c>
      <c r="AB44" s="16" t="str">
        <f t="shared" si="11"/>
        <v/>
      </c>
      <c r="AC44" s="16" t="str">
        <f t="shared" si="11"/>
        <v/>
      </c>
    </row>
    <row r="45" spans="2:29" x14ac:dyDescent="0.25">
      <c r="B45" s="9" t="s">
        <v>18</v>
      </c>
      <c r="D45" s="61">
        <v>128652.09357981697</v>
      </c>
      <c r="E45" s="16">
        <f>IF(E26&lt;=$C$16,E41+E44+E43,"")</f>
        <v>118670.02615326193</v>
      </c>
      <c r="F45" s="16">
        <f t="shared" ref="F45:N45" si="12">IF(F26&lt;=$C$16,F41+F44+F43,"")</f>
        <v>108113.14153534386</v>
      </c>
      <c r="G45" s="16">
        <f t="shared" si="12"/>
        <v>96958.25016734346</v>
      </c>
      <c r="H45" s="16">
        <f t="shared" si="12"/>
        <v>85181.331169883037</v>
      </c>
      <c r="I45" s="16">
        <f t="shared" si="12"/>
        <v>72757.504084305154</v>
      </c>
      <c r="J45" s="16">
        <f t="shared" si="12"/>
        <v>59660.999678644483</v>
      </c>
      <c r="K45" s="16">
        <f t="shared" si="12"/>
        <v>45865.129787647624</v>
      </c>
      <c r="L45" s="16">
        <f t="shared" si="12"/>
        <v>31342.256155304556</v>
      </c>
      <c r="M45" s="16">
        <f t="shared" si="12"/>
        <v>16063.758247332848</v>
      </c>
      <c r="N45" s="16">
        <f t="shared" si="12"/>
        <v>-1.4392753655556589E-10</v>
      </c>
      <c r="O45" s="16" t="str">
        <f t="shared" ref="O45:AC45" si="13">IF(O26&lt;=$C$16,O41+O44,"")</f>
        <v/>
      </c>
      <c r="P45" s="16" t="str">
        <f t="shared" si="13"/>
        <v/>
      </c>
      <c r="Q45" s="16" t="str">
        <f t="shared" si="13"/>
        <v/>
      </c>
      <c r="R45" s="16" t="str">
        <f t="shared" si="13"/>
        <v/>
      </c>
      <c r="S45" s="16" t="str">
        <f t="shared" si="13"/>
        <v/>
      </c>
      <c r="T45" s="16" t="str">
        <f t="shared" si="13"/>
        <v/>
      </c>
      <c r="U45" s="16" t="str">
        <f t="shared" si="13"/>
        <v/>
      </c>
      <c r="V45" s="16" t="str">
        <f t="shared" si="13"/>
        <v/>
      </c>
      <c r="W45" s="16" t="str">
        <f t="shared" si="13"/>
        <v/>
      </c>
      <c r="X45" s="16" t="str">
        <f t="shared" si="13"/>
        <v/>
      </c>
      <c r="Y45" s="16" t="str">
        <f t="shared" si="13"/>
        <v/>
      </c>
      <c r="Z45" s="16" t="str">
        <f t="shared" si="13"/>
        <v/>
      </c>
      <c r="AA45" s="16" t="str">
        <f t="shared" si="13"/>
        <v/>
      </c>
      <c r="AB45" s="16" t="str">
        <f t="shared" si="13"/>
        <v/>
      </c>
      <c r="AC45" s="16" t="str">
        <f t="shared" si="13"/>
        <v/>
      </c>
    </row>
    <row r="46" spans="2:29" x14ac:dyDescent="0.25"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</row>
    <row r="47" spans="2:29" x14ac:dyDescent="0.25">
      <c r="B47" s="9" t="s">
        <v>44</v>
      </c>
      <c r="C47" s="3"/>
      <c r="D47" s="61">
        <f>HLOOKUP($C$16,$E$26:$AC$45,20,FALSE)</f>
        <v>-1.4392753655556589E-10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</row>
    <row r="48" spans="2:29" x14ac:dyDescent="0.25">
      <c r="D48" s="7"/>
    </row>
    <row r="49" spans="2:29" x14ac:dyDescent="0.25">
      <c r="B49" s="9" t="s">
        <v>21</v>
      </c>
      <c r="D49" s="7"/>
      <c r="E49" s="51">
        <f t="shared" ref="E49:AC49" si="14">IF(E26&lt;=$C$16,-E39/SUM(E42:E44),"")</f>
        <v>1.4740150196556947</v>
      </c>
      <c r="F49" s="51">
        <f t="shared" si="14"/>
        <v>1.5073969510540695</v>
      </c>
      <c r="G49" s="51">
        <f t="shared" si="14"/>
        <v>1.5427476158214433</v>
      </c>
      <c r="H49" s="51">
        <f t="shared" si="14"/>
        <v>1.5802466376017443</v>
      </c>
      <c r="I49" s="51">
        <f t="shared" si="14"/>
        <v>1.6200960830521973</v>
      </c>
      <c r="J49" s="51">
        <f t="shared" si="14"/>
        <v>1.6625240821098943</v>
      </c>
      <c r="K49" s="51">
        <f t="shared" si="14"/>
        <v>1.7077891723632312</v>
      </c>
      <c r="L49" s="51">
        <f t="shared" si="14"/>
        <v>1.7561855423253421</v>
      </c>
      <c r="M49" s="51">
        <f t="shared" si="14"/>
        <v>1.808049398352634</v>
      </c>
      <c r="N49" s="51">
        <f t="shared" si="14"/>
        <v>1.8637667465474916</v>
      </c>
      <c r="O49" s="51" t="str">
        <f t="shared" si="14"/>
        <v/>
      </c>
      <c r="P49" s="51" t="str">
        <f t="shared" si="14"/>
        <v/>
      </c>
      <c r="Q49" s="51" t="str">
        <f t="shared" si="14"/>
        <v/>
      </c>
      <c r="R49" s="51" t="str">
        <f t="shared" si="14"/>
        <v/>
      </c>
      <c r="S49" s="51" t="str">
        <f t="shared" si="14"/>
        <v/>
      </c>
      <c r="T49" s="51" t="str">
        <f t="shared" si="14"/>
        <v/>
      </c>
      <c r="U49" s="51" t="str">
        <f t="shared" si="14"/>
        <v/>
      </c>
      <c r="V49" s="51" t="str">
        <f t="shared" si="14"/>
        <v/>
      </c>
      <c r="W49" s="51" t="str">
        <f t="shared" si="14"/>
        <v/>
      </c>
      <c r="X49" s="51" t="str">
        <f t="shared" si="14"/>
        <v/>
      </c>
      <c r="Y49" s="51" t="str">
        <f t="shared" si="14"/>
        <v/>
      </c>
      <c r="Z49" s="51" t="str">
        <f t="shared" si="14"/>
        <v/>
      </c>
      <c r="AA49" s="51" t="str">
        <f t="shared" si="14"/>
        <v/>
      </c>
      <c r="AB49" s="51" t="str">
        <f t="shared" si="14"/>
        <v/>
      </c>
      <c r="AC49" s="51" t="str">
        <f t="shared" si="14"/>
        <v/>
      </c>
    </row>
    <row r="50" spans="2:29" x14ac:dyDescent="0.25">
      <c r="D50" s="7"/>
    </row>
    <row r="51" spans="2:29" x14ac:dyDescent="0.25">
      <c r="B51" s="9" t="s">
        <v>25</v>
      </c>
      <c r="D51" s="16">
        <f>-($C$20-D45)</f>
        <v>-291347.90642018302</v>
      </c>
      <c r="E51" s="16">
        <f>E39+SUM(E42:E44)</f>
        <v>8695.5464907568639</v>
      </c>
      <c r="F51" s="16">
        <f t="shared" ref="F51:AC51" si="15">F39+SUM(F42:F44)</f>
        <v>9270.3636821199034</v>
      </c>
      <c r="G51" s="16">
        <f t="shared" si="15"/>
        <v>9868.3704322022386</v>
      </c>
      <c r="H51" s="16">
        <f t="shared" si="15"/>
        <v>10490.39806166225</v>
      </c>
      <c r="I51" s="16">
        <f t="shared" si="15"/>
        <v>11137.306149779717</v>
      </c>
      <c r="J51" s="16">
        <f t="shared" si="15"/>
        <v>11809.983469862498</v>
      </c>
      <c r="K51" s="16">
        <f t="shared" si="15"/>
        <v>12509.34895519869</v>
      </c>
      <c r="L51" s="16">
        <f t="shared" si="15"/>
        <v>13236.352696544898</v>
      </c>
      <c r="M51" s="16">
        <f t="shared" si="15"/>
        <v>13991.976972173536</v>
      </c>
      <c r="N51" s="16">
        <f t="shared" si="15"/>
        <v>14777.237311534824</v>
      </c>
      <c r="O51" s="16">
        <f t="shared" si="15"/>
        <v>32472.888123045439</v>
      </c>
      <c r="P51" s="16">
        <f t="shared" si="15"/>
        <v>33071.142503738476</v>
      </c>
      <c r="Q51" s="16">
        <f t="shared" si="15"/>
        <v>33680.081887501205</v>
      </c>
      <c r="R51" s="16">
        <f t="shared" si="15"/>
        <v>34299.887972281373</v>
      </c>
      <c r="S51" s="16">
        <f t="shared" si="15"/>
        <v>34930.745289932915</v>
      </c>
      <c r="T51" s="16">
        <f t="shared" si="15"/>
        <v>35572.841242892609</v>
      </c>
      <c r="U51" s="16">
        <f t="shared" si="15"/>
        <v>36226.366141090541</v>
      </c>
      <c r="V51" s="16">
        <f t="shared" si="15"/>
        <v>36891.513239085936</v>
      </c>
      <c r="W51" s="16">
        <f t="shared" si="15"/>
        <v>37568.478773420567</v>
      </c>
      <c r="X51" s="16">
        <f t="shared" si="15"/>
        <v>38257.462000180712</v>
      </c>
      <c r="Y51" s="16">
        <f t="shared" si="15"/>
        <v>38958.665232758372</v>
      </c>
      <c r="Z51" s="16">
        <f t="shared" si="15"/>
        <v>39672.293879801917</v>
      </c>
      <c r="AA51" s="16">
        <f t="shared" si="15"/>
        <v>40398.556483346059</v>
      </c>
      <c r="AB51" s="16">
        <f t="shared" si="15"/>
        <v>41137.664757109756</v>
      </c>
      <c r="AC51" s="16">
        <f t="shared" si="15"/>
        <v>41889.83362495117</v>
      </c>
    </row>
    <row r="53" spans="2:29" x14ac:dyDescent="0.25">
      <c r="B53" s="52" t="s">
        <v>26</v>
      </c>
      <c r="C53" s="53">
        <f>IRR(D51:AC51)</f>
        <v>5.6859276277836601E-2</v>
      </c>
    </row>
  </sheetData>
  <pageMargins left="0.45" right="0.45" top="0.75" bottom="0.75" header="0.3" footer="0.3"/>
  <pageSetup scale="69" fitToWidth="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71"/>
  <sheetViews>
    <sheetView showGridLines="0" tabSelected="1" topLeftCell="A31" zoomScale="85" zoomScaleNormal="85" workbookViewId="0">
      <selection activeCell="D49" sqref="D49"/>
    </sheetView>
  </sheetViews>
  <sheetFormatPr defaultColWidth="9.109375" defaultRowHeight="13.8" x14ac:dyDescent="0.25"/>
  <cols>
    <col min="1" max="1" width="2.6640625" style="3" customWidth="1"/>
    <col min="2" max="2" width="37.33203125" style="9" customWidth="1"/>
    <col min="3" max="3" width="14.44140625" style="2" bestFit="1" customWidth="1"/>
    <col min="4" max="29" width="10.44140625" style="3" customWidth="1"/>
    <col min="30" max="16384" width="9.109375" style="3"/>
  </cols>
  <sheetData>
    <row r="1" spans="1:29" ht="16.8" x14ac:dyDescent="0.3">
      <c r="A1" s="33" t="s">
        <v>64</v>
      </c>
    </row>
    <row r="2" spans="1:29" x14ac:dyDescent="0.25">
      <c r="A2" s="3" t="s">
        <v>80</v>
      </c>
    </row>
    <row r="4" spans="1:29" x14ac:dyDescent="0.25">
      <c r="A4" s="27"/>
      <c r="B4" s="27" t="s">
        <v>52</v>
      </c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</row>
    <row r="6" spans="1:29" x14ac:dyDescent="0.25">
      <c r="B6" s="12"/>
      <c r="C6" s="14"/>
      <c r="D6" s="15" t="s">
        <v>57</v>
      </c>
    </row>
    <row r="7" spans="1:29" ht="14.4" x14ac:dyDescent="0.3">
      <c r="B7" s="9" t="s">
        <v>0</v>
      </c>
      <c r="C7" s="16">
        <v>200</v>
      </c>
      <c r="D7" s="9" t="s">
        <v>2</v>
      </c>
      <c r="F7"/>
      <c r="G7"/>
      <c r="H7"/>
      <c r="I7"/>
      <c r="J7"/>
      <c r="K7"/>
      <c r="L7"/>
    </row>
    <row r="8" spans="1:29" ht="14.4" x14ac:dyDescent="0.3">
      <c r="B8" s="9" t="s">
        <v>8</v>
      </c>
      <c r="C8" s="56">
        <v>0.4</v>
      </c>
      <c r="D8" s="9" t="s">
        <v>50</v>
      </c>
      <c r="F8"/>
      <c r="G8"/>
      <c r="H8"/>
      <c r="I8"/>
      <c r="J8"/>
      <c r="K8"/>
      <c r="L8"/>
    </row>
    <row r="9" spans="1:29" ht="14.4" x14ac:dyDescent="0.3">
      <c r="B9" s="9" t="s">
        <v>1</v>
      </c>
      <c r="C9" s="35">
        <v>40</v>
      </c>
      <c r="D9" s="9" t="s">
        <v>3</v>
      </c>
      <c r="F9"/>
      <c r="G9"/>
      <c r="H9"/>
      <c r="I9"/>
      <c r="J9"/>
      <c r="K9"/>
      <c r="L9"/>
    </row>
    <row r="10" spans="1:29" x14ac:dyDescent="0.25">
      <c r="B10" s="9" t="s">
        <v>5</v>
      </c>
      <c r="C10" s="35">
        <v>50</v>
      </c>
      <c r="D10" s="9" t="s">
        <v>4</v>
      </c>
    </row>
    <row r="11" spans="1:29" x14ac:dyDescent="0.25">
      <c r="B11" s="9" t="s">
        <v>6</v>
      </c>
      <c r="C11" s="56">
        <v>0.02</v>
      </c>
      <c r="D11" s="9" t="s">
        <v>50</v>
      </c>
    </row>
    <row r="12" spans="1:29" x14ac:dyDescent="0.25">
      <c r="B12" s="9" t="s">
        <v>7</v>
      </c>
      <c r="C12" s="56">
        <v>2.5000000000000001E-2</v>
      </c>
      <c r="D12" s="9" t="s">
        <v>50</v>
      </c>
    </row>
    <row r="13" spans="1:29" x14ac:dyDescent="0.25">
      <c r="B13" s="9" t="s">
        <v>33</v>
      </c>
      <c r="C13" s="37">
        <v>1.3</v>
      </c>
      <c r="D13" s="9" t="s">
        <v>51</v>
      </c>
    </row>
    <row r="14" spans="1:29" x14ac:dyDescent="0.25">
      <c r="B14" s="9" t="s">
        <v>45</v>
      </c>
      <c r="C14" s="16">
        <v>10</v>
      </c>
      <c r="D14" s="9" t="s">
        <v>77</v>
      </c>
    </row>
    <row r="15" spans="1:29" x14ac:dyDescent="0.25">
      <c r="B15" s="9" t="s">
        <v>47</v>
      </c>
      <c r="C15" s="56">
        <v>4.4999999999999998E-2</v>
      </c>
      <c r="D15" s="9" t="s">
        <v>50</v>
      </c>
    </row>
    <row r="16" spans="1:29" x14ac:dyDescent="0.25">
      <c r="B16" s="9" t="s">
        <v>89</v>
      </c>
      <c r="C16" s="35">
        <v>200</v>
      </c>
      <c r="D16" s="54" t="s">
        <v>90</v>
      </c>
    </row>
    <row r="17" spans="1:29" x14ac:dyDescent="0.25">
      <c r="B17" s="9" t="s">
        <v>35</v>
      </c>
      <c r="C17" s="56">
        <v>4.4999999999999998E-2</v>
      </c>
      <c r="D17" s="9" t="s">
        <v>50</v>
      </c>
    </row>
    <row r="18" spans="1:29" x14ac:dyDescent="0.25">
      <c r="B18" s="9" t="s">
        <v>36</v>
      </c>
      <c r="C18" s="56">
        <v>6.5000000000000002E-2</v>
      </c>
      <c r="D18" s="9" t="s">
        <v>50</v>
      </c>
    </row>
    <row r="19" spans="1:29" x14ac:dyDescent="0.25">
      <c r="B19" s="9" t="s">
        <v>88</v>
      </c>
      <c r="C19" s="56">
        <v>0.01</v>
      </c>
      <c r="D19" s="3" t="s">
        <v>50</v>
      </c>
    </row>
    <row r="20" spans="1:29" x14ac:dyDescent="0.25">
      <c r="B20" s="9" t="s">
        <v>53</v>
      </c>
      <c r="C20" s="16">
        <v>8760</v>
      </c>
      <c r="D20" s="9" t="s">
        <v>55</v>
      </c>
    </row>
    <row r="21" spans="1:29" x14ac:dyDescent="0.25">
      <c r="B21" s="9" t="s">
        <v>54</v>
      </c>
      <c r="C21" s="16">
        <v>1000</v>
      </c>
      <c r="D21" s="9" t="s">
        <v>56</v>
      </c>
    </row>
    <row r="22" spans="1:29" x14ac:dyDescent="0.25">
      <c r="B22" s="9" t="s">
        <v>24</v>
      </c>
      <c r="C22" s="57">
        <v>2100</v>
      </c>
      <c r="D22" s="9" t="s">
        <v>23</v>
      </c>
    </row>
    <row r="23" spans="1:29" x14ac:dyDescent="0.25">
      <c r="B23" s="9" t="s">
        <v>22</v>
      </c>
      <c r="C23" s="16">
        <f>C22*C7</f>
        <v>420000</v>
      </c>
      <c r="D23" s="9" t="s">
        <v>69</v>
      </c>
    </row>
    <row r="25" spans="1:29" x14ac:dyDescent="0.25">
      <c r="A25" s="27"/>
      <c r="B25" s="27" t="s">
        <v>81</v>
      </c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</row>
    <row r="26" spans="1:29" ht="14.4" x14ac:dyDescent="0.3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</row>
    <row r="27" spans="1:29" ht="14.4" x14ac:dyDescent="0.3">
      <c r="A27"/>
      <c r="B27" s="30" t="s">
        <v>66</v>
      </c>
      <c r="C27" s="31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</row>
    <row r="29" spans="1:29" x14ac:dyDescent="0.25">
      <c r="B29" s="12" t="s">
        <v>49</v>
      </c>
      <c r="C29" s="11"/>
      <c r="D29" s="13">
        <v>0</v>
      </c>
      <c r="E29" s="13">
        <v>1</v>
      </c>
      <c r="F29" s="13">
        <v>2</v>
      </c>
      <c r="G29" s="13">
        <v>3</v>
      </c>
      <c r="H29" s="13">
        <v>4</v>
      </c>
      <c r="I29" s="13">
        <v>5</v>
      </c>
      <c r="J29" s="13">
        <v>6</v>
      </c>
      <c r="K29" s="13">
        <v>7</v>
      </c>
      <c r="L29" s="13">
        <v>8</v>
      </c>
      <c r="M29" s="13">
        <v>9</v>
      </c>
      <c r="N29" s="13">
        <v>10</v>
      </c>
      <c r="O29" s="13">
        <v>11</v>
      </c>
      <c r="P29" s="13">
        <v>12</v>
      </c>
      <c r="Q29" s="13">
        <v>13</v>
      </c>
      <c r="R29" s="13">
        <v>14</v>
      </c>
      <c r="S29" s="13">
        <v>15</v>
      </c>
      <c r="T29" s="13">
        <v>16</v>
      </c>
      <c r="U29" s="13">
        <v>17</v>
      </c>
      <c r="V29" s="13">
        <v>18</v>
      </c>
      <c r="W29" s="13">
        <v>19</v>
      </c>
      <c r="X29" s="13">
        <v>20</v>
      </c>
      <c r="Y29" s="13">
        <v>21</v>
      </c>
      <c r="Z29" s="13">
        <v>22</v>
      </c>
      <c r="AA29" s="13">
        <v>23</v>
      </c>
      <c r="AB29" s="13">
        <v>24</v>
      </c>
      <c r="AC29" s="13">
        <v>25</v>
      </c>
    </row>
    <row r="31" spans="1:29" x14ac:dyDescent="0.25">
      <c r="B31" s="9" t="s">
        <v>9</v>
      </c>
      <c r="E31" s="16">
        <f t="shared" ref="E31:AC31" si="0">$C$7*$C$8*$C$20</f>
        <v>700800</v>
      </c>
      <c r="F31" s="16">
        <f t="shared" si="0"/>
        <v>700800</v>
      </c>
      <c r="G31" s="16">
        <f t="shared" si="0"/>
        <v>700800</v>
      </c>
      <c r="H31" s="16">
        <f t="shared" si="0"/>
        <v>700800</v>
      </c>
      <c r="I31" s="16">
        <f t="shared" si="0"/>
        <v>700800</v>
      </c>
      <c r="J31" s="16">
        <f t="shared" si="0"/>
        <v>700800</v>
      </c>
      <c r="K31" s="16">
        <f t="shared" si="0"/>
        <v>700800</v>
      </c>
      <c r="L31" s="16">
        <f t="shared" si="0"/>
        <v>700800</v>
      </c>
      <c r="M31" s="16">
        <f t="shared" si="0"/>
        <v>700800</v>
      </c>
      <c r="N31" s="16">
        <f t="shared" si="0"/>
        <v>700800</v>
      </c>
      <c r="O31" s="16">
        <f t="shared" si="0"/>
        <v>700800</v>
      </c>
      <c r="P31" s="16">
        <f t="shared" si="0"/>
        <v>700800</v>
      </c>
      <c r="Q31" s="16">
        <f t="shared" si="0"/>
        <v>700800</v>
      </c>
      <c r="R31" s="16">
        <f t="shared" si="0"/>
        <v>700800</v>
      </c>
      <c r="S31" s="16">
        <f t="shared" si="0"/>
        <v>700800</v>
      </c>
      <c r="T31" s="16">
        <f t="shared" si="0"/>
        <v>700800</v>
      </c>
      <c r="U31" s="16">
        <f t="shared" si="0"/>
        <v>700800</v>
      </c>
      <c r="V31" s="16">
        <f t="shared" si="0"/>
        <v>700800</v>
      </c>
      <c r="W31" s="16">
        <f t="shared" si="0"/>
        <v>700800</v>
      </c>
      <c r="X31" s="16">
        <f t="shared" si="0"/>
        <v>700800</v>
      </c>
      <c r="Y31" s="16">
        <f t="shared" si="0"/>
        <v>700800</v>
      </c>
      <c r="Z31" s="16">
        <f t="shared" si="0"/>
        <v>700800</v>
      </c>
      <c r="AA31" s="16">
        <f t="shared" si="0"/>
        <v>700800</v>
      </c>
      <c r="AB31" s="16">
        <f t="shared" si="0"/>
        <v>700800</v>
      </c>
      <c r="AC31" s="16">
        <f t="shared" si="0"/>
        <v>700800</v>
      </c>
    </row>
    <row r="32" spans="1:29" x14ac:dyDescent="0.25"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</row>
    <row r="33" spans="2:29" x14ac:dyDescent="0.25">
      <c r="B33" s="9" t="s">
        <v>12</v>
      </c>
      <c r="E33" s="18">
        <f t="shared" ref="E33:AC33" si="1">(1+$C$11)^(E29-1)</f>
        <v>1</v>
      </c>
      <c r="F33" s="18">
        <f t="shared" si="1"/>
        <v>1.02</v>
      </c>
      <c r="G33" s="18">
        <f t="shared" si="1"/>
        <v>1.0404</v>
      </c>
      <c r="H33" s="18">
        <f t="shared" si="1"/>
        <v>1.0612079999999999</v>
      </c>
      <c r="I33" s="18">
        <f t="shared" si="1"/>
        <v>1.08243216</v>
      </c>
      <c r="J33" s="18">
        <f t="shared" si="1"/>
        <v>1.1040808032</v>
      </c>
      <c r="K33" s="18">
        <f t="shared" si="1"/>
        <v>1.1261624192640001</v>
      </c>
      <c r="L33" s="18">
        <f t="shared" si="1"/>
        <v>1.1486856676492798</v>
      </c>
      <c r="M33" s="18">
        <f t="shared" si="1"/>
        <v>1.1716593810022655</v>
      </c>
      <c r="N33" s="18">
        <f t="shared" si="1"/>
        <v>1.1950925686223108</v>
      </c>
      <c r="O33" s="18">
        <f t="shared" si="1"/>
        <v>1.2189944199947571</v>
      </c>
      <c r="P33" s="18">
        <f t="shared" si="1"/>
        <v>1.243374308394652</v>
      </c>
      <c r="Q33" s="18">
        <f t="shared" si="1"/>
        <v>1.2682417945625453</v>
      </c>
      <c r="R33" s="18">
        <f t="shared" si="1"/>
        <v>1.2936066304537961</v>
      </c>
      <c r="S33" s="18">
        <f t="shared" si="1"/>
        <v>1.3194787630628722</v>
      </c>
      <c r="T33" s="18">
        <f t="shared" si="1"/>
        <v>1.3458683383241292</v>
      </c>
      <c r="U33" s="18">
        <f t="shared" si="1"/>
        <v>1.372785705090612</v>
      </c>
      <c r="V33" s="18">
        <f t="shared" si="1"/>
        <v>1.4002414191924244</v>
      </c>
      <c r="W33" s="18">
        <f t="shared" si="1"/>
        <v>1.4282462475762727</v>
      </c>
      <c r="X33" s="18">
        <f t="shared" si="1"/>
        <v>1.4568111725277981</v>
      </c>
      <c r="Y33" s="18">
        <f t="shared" si="1"/>
        <v>1.4859473959783542</v>
      </c>
      <c r="Z33" s="18">
        <f t="shared" si="1"/>
        <v>1.5156663438979212</v>
      </c>
      <c r="AA33" s="18">
        <f t="shared" si="1"/>
        <v>1.5459796707758797</v>
      </c>
      <c r="AB33" s="18">
        <f t="shared" si="1"/>
        <v>1.576899264191397</v>
      </c>
      <c r="AC33" s="18">
        <f t="shared" si="1"/>
        <v>1.608437249475225</v>
      </c>
    </row>
    <row r="34" spans="2:29" x14ac:dyDescent="0.25">
      <c r="B34" s="9" t="s">
        <v>7</v>
      </c>
      <c r="E34" s="18">
        <f t="shared" ref="E34:AC34" si="2">(1+$C$12)^(E29-1)</f>
        <v>1</v>
      </c>
      <c r="F34" s="18">
        <f t="shared" si="2"/>
        <v>1.0249999999999999</v>
      </c>
      <c r="G34" s="18">
        <f t="shared" si="2"/>
        <v>1.0506249999999999</v>
      </c>
      <c r="H34" s="18">
        <f t="shared" si="2"/>
        <v>1.0768906249999999</v>
      </c>
      <c r="I34" s="18">
        <f t="shared" si="2"/>
        <v>1.1038128906249998</v>
      </c>
      <c r="J34" s="18">
        <f t="shared" si="2"/>
        <v>1.1314082128906247</v>
      </c>
      <c r="K34" s="18">
        <f t="shared" si="2"/>
        <v>1.1596934182128902</v>
      </c>
      <c r="L34" s="18">
        <f t="shared" si="2"/>
        <v>1.1886857536682125</v>
      </c>
      <c r="M34" s="18">
        <f t="shared" si="2"/>
        <v>1.2184028975099177</v>
      </c>
      <c r="N34" s="18">
        <f t="shared" si="2"/>
        <v>1.2488629699476654</v>
      </c>
      <c r="O34" s="18">
        <f t="shared" si="2"/>
        <v>1.2800845441963571</v>
      </c>
      <c r="P34" s="18">
        <f t="shared" si="2"/>
        <v>1.312086657801266</v>
      </c>
      <c r="Q34" s="18">
        <f t="shared" si="2"/>
        <v>1.3448888242462975</v>
      </c>
      <c r="R34" s="18">
        <f t="shared" si="2"/>
        <v>1.3785110448524549</v>
      </c>
      <c r="S34" s="18">
        <f t="shared" si="2"/>
        <v>1.4129738209737661</v>
      </c>
      <c r="T34" s="18">
        <f t="shared" si="2"/>
        <v>1.4482981664981105</v>
      </c>
      <c r="U34" s="18">
        <f t="shared" si="2"/>
        <v>1.4845056206605631</v>
      </c>
      <c r="V34" s="18">
        <f t="shared" si="2"/>
        <v>1.521618261177077</v>
      </c>
      <c r="W34" s="18">
        <f t="shared" si="2"/>
        <v>1.559658717706504</v>
      </c>
      <c r="X34" s="18">
        <f t="shared" si="2"/>
        <v>1.5986501856491666</v>
      </c>
      <c r="Y34" s="18">
        <f t="shared" si="2"/>
        <v>1.6386164402903955</v>
      </c>
      <c r="Z34" s="18">
        <f t="shared" si="2"/>
        <v>1.6795818512976552</v>
      </c>
      <c r="AA34" s="18">
        <f t="shared" si="2"/>
        <v>1.7215713975800966</v>
      </c>
      <c r="AB34" s="18">
        <f t="shared" si="2"/>
        <v>1.7646106825195991</v>
      </c>
      <c r="AC34" s="18">
        <f t="shared" si="2"/>
        <v>1.8087259495825889</v>
      </c>
    </row>
    <row r="36" spans="2:29" x14ac:dyDescent="0.25">
      <c r="B36" s="9" t="s">
        <v>10</v>
      </c>
      <c r="D36" s="16"/>
      <c r="E36" s="55">
        <f>$C$10*E33</f>
        <v>50</v>
      </c>
      <c r="F36" s="55">
        <f t="shared" ref="F36:AC36" si="3">$C$10*F33</f>
        <v>51</v>
      </c>
      <c r="G36" s="55">
        <f t="shared" si="3"/>
        <v>52.019999999999996</v>
      </c>
      <c r="H36" s="55">
        <f t="shared" si="3"/>
        <v>53.060399999999994</v>
      </c>
      <c r="I36" s="55">
        <f t="shared" si="3"/>
        <v>54.121608000000002</v>
      </c>
      <c r="J36" s="55">
        <f t="shared" si="3"/>
        <v>55.204040159999998</v>
      </c>
      <c r="K36" s="55">
        <f t="shared" si="3"/>
        <v>56.308120963200004</v>
      </c>
      <c r="L36" s="55">
        <f t="shared" si="3"/>
        <v>57.434283382463988</v>
      </c>
      <c r="M36" s="55">
        <f t="shared" si="3"/>
        <v>58.582969050113277</v>
      </c>
      <c r="N36" s="55">
        <f t="shared" si="3"/>
        <v>59.754628431115542</v>
      </c>
      <c r="O36" s="55">
        <f t="shared" si="3"/>
        <v>60.949720999737856</v>
      </c>
      <c r="P36" s="55">
        <f t="shared" si="3"/>
        <v>62.1687154197326</v>
      </c>
      <c r="Q36" s="55">
        <f t="shared" si="3"/>
        <v>63.412089728127263</v>
      </c>
      <c r="R36" s="55">
        <f t="shared" si="3"/>
        <v>64.680331522689798</v>
      </c>
      <c r="S36" s="55">
        <f t="shared" si="3"/>
        <v>65.973938153143607</v>
      </c>
      <c r="T36" s="55">
        <f t="shared" si="3"/>
        <v>67.293416916206468</v>
      </c>
      <c r="U36" s="55">
        <f t="shared" si="3"/>
        <v>68.639285254530606</v>
      </c>
      <c r="V36" s="55">
        <f t="shared" si="3"/>
        <v>70.012070959621227</v>
      </c>
      <c r="W36" s="55">
        <f t="shared" si="3"/>
        <v>71.412312378813638</v>
      </c>
      <c r="X36" s="55">
        <f t="shared" si="3"/>
        <v>72.840558626389907</v>
      </c>
      <c r="Y36" s="55">
        <f t="shared" si="3"/>
        <v>74.297369798917714</v>
      </c>
      <c r="Z36" s="55">
        <f t="shared" si="3"/>
        <v>75.783317194896057</v>
      </c>
      <c r="AA36" s="55">
        <f t="shared" si="3"/>
        <v>77.298983538793991</v>
      </c>
      <c r="AB36" s="55">
        <f t="shared" si="3"/>
        <v>78.844963209569855</v>
      </c>
      <c r="AC36" s="55">
        <f t="shared" si="3"/>
        <v>80.421862473761252</v>
      </c>
    </row>
    <row r="37" spans="2:29" x14ac:dyDescent="0.25"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</row>
    <row r="38" spans="2:29" x14ac:dyDescent="0.25">
      <c r="B38" s="9" t="s">
        <v>58</v>
      </c>
      <c r="D38" s="16"/>
      <c r="E38" s="16">
        <f>E36*E31/$C$21</f>
        <v>35040</v>
      </c>
      <c r="F38" s="16">
        <f t="shared" ref="F38:AC38" si="4">F36*F31/$C$21</f>
        <v>35740.800000000003</v>
      </c>
      <c r="G38" s="16">
        <f t="shared" si="4"/>
        <v>36455.616000000002</v>
      </c>
      <c r="H38" s="16">
        <f t="shared" si="4"/>
        <v>37184.728319999995</v>
      </c>
      <c r="I38" s="16">
        <f t="shared" si="4"/>
        <v>37928.422886399996</v>
      </c>
      <c r="J38" s="16">
        <f t="shared" si="4"/>
        <v>38686.991344128</v>
      </c>
      <c r="K38" s="16">
        <f t="shared" si="4"/>
        <v>39460.731171010564</v>
      </c>
      <c r="L38" s="16">
        <f t="shared" si="4"/>
        <v>40249.945794430765</v>
      </c>
      <c r="M38" s="16">
        <f t="shared" si="4"/>
        <v>41054.944710319382</v>
      </c>
      <c r="N38" s="16">
        <f t="shared" si="4"/>
        <v>41876.043604525774</v>
      </c>
      <c r="O38" s="16">
        <f t="shared" si="4"/>
        <v>42713.564476616295</v>
      </c>
      <c r="P38" s="16">
        <f t="shared" si="4"/>
        <v>43567.835766148608</v>
      </c>
      <c r="Q38" s="16">
        <f t="shared" si="4"/>
        <v>44439.192481471582</v>
      </c>
      <c r="R38" s="16">
        <f t="shared" si="4"/>
        <v>45327.97633110101</v>
      </c>
      <c r="S38" s="16">
        <f t="shared" si="4"/>
        <v>46234.535857723044</v>
      </c>
      <c r="T38" s="16">
        <f t="shared" si="4"/>
        <v>47159.226574877495</v>
      </c>
      <c r="U38" s="16">
        <f t="shared" si="4"/>
        <v>48102.411106375046</v>
      </c>
      <c r="V38" s="16">
        <f t="shared" si="4"/>
        <v>49064.459328502555</v>
      </c>
      <c r="W38" s="16">
        <f t="shared" si="4"/>
        <v>50045.748515072599</v>
      </c>
      <c r="X38" s="16">
        <f t="shared" si="4"/>
        <v>51046.663485374047</v>
      </c>
      <c r="Y38" s="16">
        <f t="shared" si="4"/>
        <v>52067.596755081533</v>
      </c>
      <c r="Z38" s="16">
        <f t="shared" si="4"/>
        <v>53108.948690183155</v>
      </c>
      <c r="AA38" s="16">
        <f t="shared" si="4"/>
        <v>54171.12766398683</v>
      </c>
      <c r="AB38" s="16">
        <f t="shared" si="4"/>
        <v>55254.550217266551</v>
      </c>
      <c r="AC38" s="16">
        <f t="shared" si="4"/>
        <v>56359.641221611884</v>
      </c>
    </row>
    <row r="39" spans="2:29" x14ac:dyDescent="0.25">
      <c r="B39" s="21" t="s">
        <v>59</v>
      </c>
      <c r="D39" s="16"/>
      <c r="E39" s="16">
        <f>-$C$9*$C$7*E34</f>
        <v>-8000</v>
      </c>
      <c r="F39" s="16">
        <f t="shared" ref="F39:AC39" si="5">-$C$9*$C$7*F34</f>
        <v>-8200</v>
      </c>
      <c r="G39" s="16">
        <f t="shared" si="5"/>
        <v>-8405</v>
      </c>
      <c r="H39" s="16">
        <f t="shared" si="5"/>
        <v>-8615.1249999999982</v>
      </c>
      <c r="I39" s="16">
        <f t="shared" si="5"/>
        <v>-8830.5031249999975</v>
      </c>
      <c r="J39" s="16">
        <f t="shared" si="5"/>
        <v>-9051.2657031249964</v>
      </c>
      <c r="K39" s="16">
        <f t="shared" si="5"/>
        <v>-9277.5473457031221</v>
      </c>
      <c r="L39" s="16">
        <f t="shared" si="5"/>
        <v>-9509.4860293457004</v>
      </c>
      <c r="M39" s="16">
        <f t="shared" si="5"/>
        <v>-9747.2231800793415</v>
      </c>
      <c r="N39" s="16">
        <f t="shared" si="5"/>
        <v>-9990.9037595813243</v>
      </c>
      <c r="O39" s="16">
        <f t="shared" si="5"/>
        <v>-10240.676353570856</v>
      </c>
      <c r="P39" s="16">
        <f t="shared" si="5"/>
        <v>-10496.693262410128</v>
      </c>
      <c r="Q39" s="16">
        <f t="shared" si="5"/>
        <v>-10759.110593970379</v>
      </c>
      <c r="R39" s="16">
        <f t="shared" si="5"/>
        <v>-11028.088358819639</v>
      </c>
      <c r="S39" s="16">
        <f t="shared" si="5"/>
        <v>-11303.790567790129</v>
      </c>
      <c r="T39" s="16">
        <f t="shared" si="5"/>
        <v>-11586.385331984884</v>
      </c>
      <c r="U39" s="16">
        <f t="shared" si="5"/>
        <v>-11876.044965284505</v>
      </c>
      <c r="V39" s="16">
        <f t="shared" si="5"/>
        <v>-12172.946089416617</v>
      </c>
      <c r="W39" s="16">
        <f t="shared" si="5"/>
        <v>-12477.269741652031</v>
      </c>
      <c r="X39" s="16">
        <f t="shared" si="5"/>
        <v>-12789.201485193333</v>
      </c>
      <c r="Y39" s="16">
        <f t="shared" si="5"/>
        <v>-13108.931522323164</v>
      </c>
      <c r="Z39" s="16">
        <f t="shared" si="5"/>
        <v>-13436.654810381242</v>
      </c>
      <c r="AA39" s="16">
        <f t="shared" si="5"/>
        <v>-13772.571180640773</v>
      </c>
      <c r="AB39" s="16">
        <f t="shared" si="5"/>
        <v>-14116.885460156793</v>
      </c>
      <c r="AC39" s="16">
        <f t="shared" si="5"/>
        <v>-14469.807596660712</v>
      </c>
    </row>
    <row r="40" spans="2:29" x14ac:dyDescent="0.25">
      <c r="B40" s="22" t="s">
        <v>11</v>
      </c>
      <c r="C40" s="8"/>
      <c r="D40" s="36"/>
      <c r="E40" s="36">
        <f t="shared" ref="E40:AC40" si="6">E38+E39</f>
        <v>27040</v>
      </c>
      <c r="F40" s="36">
        <f t="shared" si="6"/>
        <v>27540.800000000003</v>
      </c>
      <c r="G40" s="36">
        <f t="shared" si="6"/>
        <v>28050.616000000002</v>
      </c>
      <c r="H40" s="36">
        <f t="shared" si="6"/>
        <v>28569.603319999995</v>
      </c>
      <c r="I40" s="36">
        <f t="shared" si="6"/>
        <v>29097.9197614</v>
      </c>
      <c r="J40" s="36">
        <f t="shared" si="6"/>
        <v>29635.725641003002</v>
      </c>
      <c r="K40" s="36">
        <f t="shared" si="6"/>
        <v>30183.183825307442</v>
      </c>
      <c r="L40" s="36">
        <f t="shared" si="6"/>
        <v>30740.459765085063</v>
      </c>
      <c r="M40" s="36">
        <f t="shared" si="6"/>
        <v>31307.72153024004</v>
      </c>
      <c r="N40" s="36">
        <f t="shared" si="6"/>
        <v>31885.13984494445</v>
      </c>
      <c r="O40" s="36">
        <f t="shared" si="6"/>
        <v>32472.888123045439</v>
      </c>
      <c r="P40" s="36">
        <f t="shared" si="6"/>
        <v>33071.142503738476</v>
      </c>
      <c r="Q40" s="36">
        <f t="shared" si="6"/>
        <v>33680.081887501205</v>
      </c>
      <c r="R40" s="36">
        <f t="shared" si="6"/>
        <v>34299.887972281373</v>
      </c>
      <c r="S40" s="36">
        <f t="shared" si="6"/>
        <v>34930.745289932915</v>
      </c>
      <c r="T40" s="36">
        <f t="shared" si="6"/>
        <v>35572.841242892609</v>
      </c>
      <c r="U40" s="36">
        <f t="shared" si="6"/>
        <v>36226.366141090541</v>
      </c>
      <c r="V40" s="36">
        <f t="shared" si="6"/>
        <v>36891.513239085936</v>
      </c>
      <c r="W40" s="36">
        <f t="shared" si="6"/>
        <v>37568.478773420567</v>
      </c>
      <c r="X40" s="36">
        <f t="shared" si="6"/>
        <v>38257.462000180712</v>
      </c>
      <c r="Y40" s="36">
        <f t="shared" si="6"/>
        <v>38958.665232758372</v>
      </c>
      <c r="Z40" s="36">
        <f t="shared" si="6"/>
        <v>39672.293879801917</v>
      </c>
      <c r="AA40" s="36">
        <f t="shared" si="6"/>
        <v>40398.556483346059</v>
      </c>
      <c r="AB40" s="36">
        <f t="shared" si="6"/>
        <v>41137.664757109756</v>
      </c>
      <c r="AC40" s="36">
        <f t="shared" si="6"/>
        <v>41889.83362495117</v>
      </c>
    </row>
    <row r="41" spans="2:29" x14ac:dyDescent="0.25"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</row>
    <row r="42" spans="2:29" x14ac:dyDescent="0.25">
      <c r="B42" s="9" t="s">
        <v>13</v>
      </c>
      <c r="D42" s="16"/>
      <c r="E42" s="16">
        <f>E40</f>
        <v>27040</v>
      </c>
      <c r="F42" s="16">
        <f t="shared" ref="F42:AC42" si="7">F40</f>
        <v>27540.800000000003</v>
      </c>
      <c r="G42" s="16">
        <f t="shared" si="7"/>
        <v>28050.616000000002</v>
      </c>
      <c r="H42" s="16">
        <f t="shared" si="7"/>
        <v>28569.603319999995</v>
      </c>
      <c r="I42" s="16">
        <f t="shared" si="7"/>
        <v>29097.9197614</v>
      </c>
      <c r="J42" s="16">
        <f t="shared" si="7"/>
        <v>29635.725641003002</v>
      </c>
      <c r="K42" s="16">
        <f t="shared" si="7"/>
        <v>30183.183825307442</v>
      </c>
      <c r="L42" s="16">
        <f t="shared" si="7"/>
        <v>30740.459765085063</v>
      </c>
      <c r="M42" s="16">
        <f t="shared" si="7"/>
        <v>31307.72153024004</v>
      </c>
      <c r="N42" s="16">
        <f t="shared" si="7"/>
        <v>31885.13984494445</v>
      </c>
      <c r="O42" s="16">
        <f t="shared" si="7"/>
        <v>32472.888123045439</v>
      </c>
      <c r="P42" s="16">
        <f t="shared" si="7"/>
        <v>33071.142503738476</v>
      </c>
      <c r="Q42" s="16">
        <f t="shared" si="7"/>
        <v>33680.081887501205</v>
      </c>
      <c r="R42" s="16">
        <f t="shared" si="7"/>
        <v>34299.887972281373</v>
      </c>
      <c r="S42" s="16">
        <f t="shared" si="7"/>
        <v>34930.745289932915</v>
      </c>
      <c r="T42" s="16">
        <f t="shared" si="7"/>
        <v>35572.841242892609</v>
      </c>
      <c r="U42" s="16">
        <f t="shared" si="7"/>
        <v>36226.366141090541</v>
      </c>
      <c r="V42" s="16">
        <f t="shared" si="7"/>
        <v>36891.513239085936</v>
      </c>
      <c r="W42" s="16">
        <f t="shared" si="7"/>
        <v>37568.478773420567</v>
      </c>
      <c r="X42" s="16">
        <f t="shared" si="7"/>
        <v>38257.462000180712</v>
      </c>
      <c r="Y42" s="16">
        <f t="shared" si="7"/>
        <v>38958.665232758372</v>
      </c>
      <c r="Z42" s="16">
        <f t="shared" si="7"/>
        <v>39672.293879801917</v>
      </c>
      <c r="AA42" s="16">
        <f t="shared" si="7"/>
        <v>40398.556483346059</v>
      </c>
      <c r="AB42" s="16">
        <f t="shared" si="7"/>
        <v>41137.664757109756</v>
      </c>
      <c r="AC42" s="16">
        <f t="shared" si="7"/>
        <v>41889.83362495117</v>
      </c>
    </row>
    <row r="43" spans="2:29" x14ac:dyDescent="0.25"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</row>
    <row r="44" spans="2:29" x14ac:dyDescent="0.25">
      <c r="B44" s="9" t="s">
        <v>46</v>
      </c>
      <c r="D44" s="16"/>
      <c r="E44" s="16">
        <f t="shared" ref="E44:AC44" si="8">IF(E29&lt;=$C$14,E42/$C$13,"")</f>
        <v>20800</v>
      </c>
      <c r="F44" s="16">
        <f t="shared" si="8"/>
        <v>21185.23076923077</v>
      </c>
      <c r="G44" s="16">
        <f t="shared" si="8"/>
        <v>21577.396923076925</v>
      </c>
      <c r="H44" s="16">
        <f t="shared" si="8"/>
        <v>21976.617938461535</v>
      </c>
      <c r="I44" s="16">
        <f t="shared" si="8"/>
        <v>22383.015201076923</v>
      </c>
      <c r="J44" s="16">
        <f t="shared" si="8"/>
        <v>22796.71203154077</v>
      </c>
      <c r="K44" s="16">
        <f t="shared" si="8"/>
        <v>23217.833711774954</v>
      </c>
      <c r="L44" s="16">
        <f t="shared" si="8"/>
        <v>23646.507511603893</v>
      </c>
      <c r="M44" s="16">
        <f t="shared" si="8"/>
        <v>24082.862715569259</v>
      </c>
      <c r="N44" s="16">
        <f t="shared" si="8"/>
        <v>24527.030649957269</v>
      </c>
      <c r="O44" s="16" t="str">
        <f t="shared" si="8"/>
        <v/>
      </c>
      <c r="P44" s="16" t="str">
        <f t="shared" si="8"/>
        <v/>
      </c>
      <c r="Q44" s="16" t="str">
        <f t="shared" si="8"/>
        <v/>
      </c>
      <c r="R44" s="16" t="str">
        <f t="shared" si="8"/>
        <v/>
      </c>
      <c r="S44" s="16" t="str">
        <f t="shared" si="8"/>
        <v/>
      </c>
      <c r="T44" s="16" t="str">
        <f t="shared" si="8"/>
        <v/>
      </c>
      <c r="U44" s="16" t="str">
        <f t="shared" si="8"/>
        <v/>
      </c>
      <c r="V44" s="16" t="str">
        <f t="shared" si="8"/>
        <v/>
      </c>
      <c r="W44" s="16" t="str">
        <f t="shared" si="8"/>
        <v/>
      </c>
      <c r="X44" s="16" t="str">
        <f t="shared" si="8"/>
        <v/>
      </c>
      <c r="Y44" s="16" t="str">
        <f t="shared" si="8"/>
        <v/>
      </c>
      <c r="Z44" s="16" t="str">
        <f t="shared" si="8"/>
        <v/>
      </c>
      <c r="AA44" s="16" t="str">
        <f t="shared" si="8"/>
        <v/>
      </c>
      <c r="AB44" s="16" t="str">
        <f t="shared" si="8"/>
        <v/>
      </c>
      <c r="AC44" s="16" t="str">
        <f t="shared" si="8"/>
        <v/>
      </c>
    </row>
    <row r="45" spans="2:29" x14ac:dyDescent="0.25"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</row>
    <row r="46" spans="2:29" x14ac:dyDescent="0.25">
      <c r="B46" s="9" t="s">
        <v>16</v>
      </c>
      <c r="D46" s="16"/>
      <c r="E46" s="16">
        <f>D49</f>
        <v>177796.06673231229</v>
      </c>
      <c r="F46" s="16">
        <f t="shared" ref="F46:AC46" si="9">E49</f>
        <v>164996.88973526633</v>
      </c>
      <c r="G46" s="16">
        <f t="shared" si="9"/>
        <v>151236.51900412256</v>
      </c>
      <c r="H46" s="16">
        <f t="shared" si="9"/>
        <v>136464.76543623116</v>
      </c>
      <c r="I46" s="16">
        <f t="shared" si="9"/>
        <v>120629.06194240003</v>
      </c>
      <c r="J46" s="16">
        <f t="shared" si="9"/>
        <v>103674.35452873111</v>
      </c>
      <c r="K46" s="16">
        <f t="shared" si="9"/>
        <v>85542.988450983248</v>
      </c>
      <c r="L46" s="16">
        <f t="shared" si="9"/>
        <v>66174.589219502537</v>
      </c>
      <c r="M46" s="16">
        <f t="shared" si="9"/>
        <v>45505.938222776254</v>
      </c>
      <c r="N46" s="16">
        <f t="shared" si="9"/>
        <v>23470.842727231928</v>
      </c>
      <c r="O46" s="16">
        <f>N49</f>
        <v>9.4587448984384537E-11</v>
      </c>
      <c r="P46" s="16">
        <f t="shared" si="9"/>
        <v>0</v>
      </c>
      <c r="Q46" s="16">
        <f t="shared" si="9"/>
        <v>0</v>
      </c>
      <c r="R46" s="16">
        <f t="shared" si="9"/>
        <v>0</v>
      </c>
      <c r="S46" s="16">
        <f t="shared" si="9"/>
        <v>0</v>
      </c>
      <c r="T46" s="16">
        <f t="shared" si="9"/>
        <v>0</v>
      </c>
      <c r="U46" s="16">
        <f t="shared" si="9"/>
        <v>0</v>
      </c>
      <c r="V46" s="16">
        <f t="shared" si="9"/>
        <v>0</v>
      </c>
      <c r="W46" s="16">
        <f t="shared" si="9"/>
        <v>0</v>
      </c>
      <c r="X46" s="16">
        <f t="shared" si="9"/>
        <v>0</v>
      </c>
      <c r="Y46" s="16">
        <f t="shared" si="9"/>
        <v>0</v>
      </c>
      <c r="Z46" s="16">
        <f t="shared" si="9"/>
        <v>0</v>
      </c>
      <c r="AA46" s="16">
        <f t="shared" si="9"/>
        <v>0</v>
      </c>
      <c r="AB46" s="16">
        <f t="shared" si="9"/>
        <v>0</v>
      </c>
      <c r="AC46" s="16">
        <f t="shared" si="9"/>
        <v>0</v>
      </c>
    </row>
    <row r="47" spans="2:29" x14ac:dyDescent="0.25">
      <c r="B47" s="21" t="s">
        <v>61</v>
      </c>
      <c r="D47" s="16"/>
      <c r="E47" s="16">
        <f t="shared" ref="E47:AC47" si="10">IF(E29&lt;=$C$14,-E46*$C$15,0)</f>
        <v>-8000.8230029540528</v>
      </c>
      <c r="F47" s="16">
        <f t="shared" si="10"/>
        <v>-7424.8600380869848</v>
      </c>
      <c r="G47" s="16">
        <f t="shared" si="10"/>
        <v>-6805.6433551855152</v>
      </c>
      <c r="H47" s="16">
        <f t="shared" si="10"/>
        <v>-6140.9144446304017</v>
      </c>
      <c r="I47" s="16">
        <f t="shared" si="10"/>
        <v>-5428.3077874080009</v>
      </c>
      <c r="J47" s="16">
        <f t="shared" si="10"/>
        <v>-4665.3459537929002</v>
      </c>
      <c r="K47" s="16">
        <f t="shared" si="10"/>
        <v>-3849.434480294246</v>
      </c>
      <c r="L47" s="16">
        <f t="shared" si="10"/>
        <v>-2977.8565148776142</v>
      </c>
      <c r="M47" s="16">
        <f t="shared" si="10"/>
        <v>-2047.7672200249315</v>
      </c>
      <c r="N47" s="16">
        <f t="shared" si="10"/>
        <v>-1056.1879227254367</v>
      </c>
      <c r="O47" s="16">
        <f t="shared" si="10"/>
        <v>0</v>
      </c>
      <c r="P47" s="16">
        <f t="shared" si="10"/>
        <v>0</v>
      </c>
      <c r="Q47" s="16">
        <f t="shared" si="10"/>
        <v>0</v>
      </c>
      <c r="R47" s="16">
        <f t="shared" si="10"/>
        <v>0</v>
      </c>
      <c r="S47" s="16">
        <f t="shared" si="10"/>
        <v>0</v>
      </c>
      <c r="T47" s="16">
        <f t="shared" si="10"/>
        <v>0</v>
      </c>
      <c r="U47" s="16">
        <f t="shared" si="10"/>
        <v>0</v>
      </c>
      <c r="V47" s="16">
        <f t="shared" si="10"/>
        <v>0</v>
      </c>
      <c r="W47" s="16">
        <f t="shared" si="10"/>
        <v>0</v>
      </c>
      <c r="X47" s="16">
        <f t="shared" si="10"/>
        <v>0</v>
      </c>
      <c r="Y47" s="16">
        <f t="shared" si="10"/>
        <v>0</v>
      </c>
      <c r="Z47" s="16">
        <f t="shared" si="10"/>
        <v>0</v>
      </c>
      <c r="AA47" s="16">
        <f t="shared" si="10"/>
        <v>0</v>
      </c>
      <c r="AB47" s="16">
        <f t="shared" si="10"/>
        <v>0</v>
      </c>
      <c r="AC47" s="16">
        <f t="shared" si="10"/>
        <v>0</v>
      </c>
    </row>
    <row r="48" spans="2:29" x14ac:dyDescent="0.25">
      <c r="B48" s="21" t="s">
        <v>78</v>
      </c>
      <c r="D48" s="16"/>
      <c r="E48" s="16">
        <f t="shared" ref="E48:AC48" si="11">IF(E29&lt;=$C$14,-E44-E47,0)</f>
        <v>-12799.176997045946</v>
      </c>
      <c r="F48" s="16">
        <f t="shared" si="11"/>
        <v>-13760.370731143785</v>
      </c>
      <c r="G48" s="16">
        <f t="shared" si="11"/>
        <v>-14771.75356789141</v>
      </c>
      <c r="H48" s="16">
        <f t="shared" si="11"/>
        <v>-15835.703493831134</v>
      </c>
      <c r="I48" s="16">
        <f t="shared" si="11"/>
        <v>-16954.707413668923</v>
      </c>
      <c r="J48" s="16">
        <f t="shared" si="11"/>
        <v>-18131.366077747869</v>
      </c>
      <c r="K48" s="16">
        <f t="shared" si="11"/>
        <v>-19368.399231480707</v>
      </c>
      <c r="L48" s="16">
        <f t="shared" si="11"/>
        <v>-20668.650996726279</v>
      </c>
      <c r="M48" s="16">
        <f t="shared" si="11"/>
        <v>-22035.095495544327</v>
      </c>
      <c r="N48" s="16">
        <f t="shared" si="11"/>
        <v>-23470.842727231833</v>
      </c>
      <c r="O48" s="16">
        <f t="shared" si="11"/>
        <v>0</v>
      </c>
      <c r="P48" s="16">
        <f t="shared" si="11"/>
        <v>0</v>
      </c>
      <c r="Q48" s="16">
        <f t="shared" si="11"/>
        <v>0</v>
      </c>
      <c r="R48" s="16">
        <f t="shared" si="11"/>
        <v>0</v>
      </c>
      <c r="S48" s="16">
        <f t="shared" si="11"/>
        <v>0</v>
      </c>
      <c r="T48" s="16">
        <f t="shared" si="11"/>
        <v>0</v>
      </c>
      <c r="U48" s="16">
        <f t="shared" si="11"/>
        <v>0</v>
      </c>
      <c r="V48" s="16">
        <f t="shared" si="11"/>
        <v>0</v>
      </c>
      <c r="W48" s="16">
        <f t="shared" si="11"/>
        <v>0</v>
      </c>
      <c r="X48" s="16">
        <f t="shared" si="11"/>
        <v>0</v>
      </c>
      <c r="Y48" s="16">
        <f t="shared" si="11"/>
        <v>0</v>
      </c>
      <c r="Z48" s="16">
        <f t="shared" si="11"/>
        <v>0</v>
      </c>
      <c r="AA48" s="16">
        <f t="shared" si="11"/>
        <v>0</v>
      </c>
      <c r="AB48" s="16">
        <f t="shared" si="11"/>
        <v>0</v>
      </c>
      <c r="AC48" s="16">
        <f t="shared" si="11"/>
        <v>0</v>
      </c>
    </row>
    <row r="49" spans="2:29" x14ac:dyDescent="0.25">
      <c r="B49" s="9" t="s">
        <v>18</v>
      </c>
      <c r="D49" s="16">
        <f>NPV($C$15,E44:AC44)</f>
        <v>177796.06673231229</v>
      </c>
      <c r="E49" s="16">
        <f t="shared" ref="E49:AC49" si="12">IF(E29&lt;=$C$14,E46+E48,0)</f>
        <v>164996.88973526633</v>
      </c>
      <c r="F49" s="16">
        <f t="shared" si="12"/>
        <v>151236.51900412256</v>
      </c>
      <c r="G49" s="16">
        <f t="shared" si="12"/>
        <v>136464.76543623116</v>
      </c>
      <c r="H49" s="16">
        <f t="shared" si="12"/>
        <v>120629.06194240003</v>
      </c>
      <c r="I49" s="16">
        <f t="shared" si="12"/>
        <v>103674.35452873111</v>
      </c>
      <c r="J49" s="16">
        <f t="shared" si="12"/>
        <v>85542.988450983248</v>
      </c>
      <c r="K49" s="16">
        <f t="shared" si="12"/>
        <v>66174.589219502537</v>
      </c>
      <c r="L49" s="16">
        <f t="shared" si="12"/>
        <v>45505.938222776254</v>
      </c>
      <c r="M49" s="16">
        <f t="shared" si="12"/>
        <v>23470.842727231928</v>
      </c>
      <c r="N49" s="16">
        <f t="shared" si="12"/>
        <v>9.4587448984384537E-11</v>
      </c>
      <c r="O49" s="16">
        <f t="shared" si="12"/>
        <v>0</v>
      </c>
      <c r="P49" s="16">
        <f t="shared" si="12"/>
        <v>0</v>
      </c>
      <c r="Q49" s="16">
        <f t="shared" si="12"/>
        <v>0</v>
      </c>
      <c r="R49" s="16">
        <f t="shared" si="12"/>
        <v>0</v>
      </c>
      <c r="S49" s="16">
        <f t="shared" si="12"/>
        <v>0</v>
      </c>
      <c r="T49" s="16">
        <f t="shared" si="12"/>
        <v>0</v>
      </c>
      <c r="U49" s="16">
        <f t="shared" si="12"/>
        <v>0</v>
      </c>
      <c r="V49" s="16">
        <f t="shared" si="12"/>
        <v>0</v>
      </c>
      <c r="W49" s="16">
        <f t="shared" si="12"/>
        <v>0</v>
      </c>
      <c r="X49" s="16">
        <f t="shared" si="12"/>
        <v>0</v>
      </c>
      <c r="Y49" s="16">
        <f t="shared" si="12"/>
        <v>0</v>
      </c>
      <c r="Z49" s="16">
        <f t="shared" si="12"/>
        <v>0</v>
      </c>
      <c r="AA49" s="16">
        <f t="shared" si="12"/>
        <v>0</v>
      </c>
      <c r="AB49" s="16">
        <f t="shared" si="12"/>
        <v>0</v>
      </c>
      <c r="AC49" s="16">
        <f t="shared" si="12"/>
        <v>0</v>
      </c>
    </row>
    <row r="50" spans="2:29" x14ac:dyDescent="0.25"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</row>
    <row r="51" spans="2:29" x14ac:dyDescent="0.25">
      <c r="B51" s="9" t="s">
        <v>37</v>
      </c>
      <c r="D51" s="16"/>
      <c r="E51" s="16">
        <f t="shared" ref="E51:AC51" si="13">IF(E29&lt;=$C$14,-(E47+E48),0)</f>
        <v>20800</v>
      </c>
      <c r="F51" s="16">
        <f t="shared" si="13"/>
        <v>21185.23076923077</v>
      </c>
      <c r="G51" s="16">
        <f t="shared" si="13"/>
        <v>21577.396923076925</v>
      </c>
      <c r="H51" s="16">
        <f t="shared" si="13"/>
        <v>21976.617938461535</v>
      </c>
      <c r="I51" s="16">
        <f t="shared" si="13"/>
        <v>22383.015201076923</v>
      </c>
      <c r="J51" s="16">
        <f t="shared" si="13"/>
        <v>22796.71203154077</v>
      </c>
      <c r="K51" s="16">
        <f t="shared" si="13"/>
        <v>23217.833711774954</v>
      </c>
      <c r="L51" s="16">
        <f t="shared" si="13"/>
        <v>23646.507511603893</v>
      </c>
      <c r="M51" s="16">
        <f t="shared" si="13"/>
        <v>24082.862715569259</v>
      </c>
      <c r="N51" s="16">
        <f t="shared" si="13"/>
        <v>24527.030649957269</v>
      </c>
      <c r="O51" s="16">
        <f t="shared" si="13"/>
        <v>0</v>
      </c>
      <c r="P51" s="16">
        <f t="shared" si="13"/>
        <v>0</v>
      </c>
      <c r="Q51" s="16">
        <f t="shared" si="13"/>
        <v>0</v>
      </c>
      <c r="R51" s="16">
        <f t="shared" si="13"/>
        <v>0</v>
      </c>
      <c r="S51" s="16">
        <f t="shared" si="13"/>
        <v>0</v>
      </c>
      <c r="T51" s="16">
        <f t="shared" si="13"/>
        <v>0</v>
      </c>
      <c r="U51" s="16">
        <f t="shared" si="13"/>
        <v>0</v>
      </c>
      <c r="V51" s="16">
        <f t="shared" si="13"/>
        <v>0</v>
      </c>
      <c r="W51" s="16">
        <f t="shared" si="13"/>
        <v>0</v>
      </c>
      <c r="X51" s="16">
        <f t="shared" si="13"/>
        <v>0</v>
      </c>
      <c r="Y51" s="16">
        <f t="shared" si="13"/>
        <v>0</v>
      </c>
      <c r="Z51" s="16">
        <f t="shared" si="13"/>
        <v>0</v>
      </c>
      <c r="AA51" s="16">
        <f t="shared" si="13"/>
        <v>0</v>
      </c>
      <c r="AB51" s="16">
        <f t="shared" si="13"/>
        <v>0</v>
      </c>
      <c r="AC51" s="16">
        <f t="shared" si="13"/>
        <v>0</v>
      </c>
    </row>
    <row r="52" spans="2:29" x14ac:dyDescent="0.25">
      <c r="B52" s="9" t="s">
        <v>38</v>
      </c>
      <c r="E52" s="51">
        <f t="shared" ref="E52:AC52" si="14">IF(E29&lt;=$C$14,E42/E51,"")</f>
        <v>1.3</v>
      </c>
      <c r="F52" s="51">
        <f t="shared" si="14"/>
        <v>1.3</v>
      </c>
      <c r="G52" s="51">
        <f t="shared" si="14"/>
        <v>1.3</v>
      </c>
      <c r="H52" s="51">
        <f t="shared" si="14"/>
        <v>1.3</v>
      </c>
      <c r="I52" s="51">
        <f t="shared" si="14"/>
        <v>1.3</v>
      </c>
      <c r="J52" s="51">
        <f t="shared" si="14"/>
        <v>1.3</v>
      </c>
      <c r="K52" s="51">
        <f t="shared" si="14"/>
        <v>1.3</v>
      </c>
      <c r="L52" s="51">
        <f t="shared" si="14"/>
        <v>1.3</v>
      </c>
      <c r="M52" s="51">
        <f t="shared" si="14"/>
        <v>1.3</v>
      </c>
      <c r="N52" s="51">
        <f t="shared" si="14"/>
        <v>1.3</v>
      </c>
      <c r="O52" s="51" t="str">
        <f t="shared" si="14"/>
        <v/>
      </c>
      <c r="P52" s="51" t="str">
        <f t="shared" si="14"/>
        <v/>
      </c>
      <c r="Q52" s="51" t="str">
        <f t="shared" si="14"/>
        <v/>
      </c>
      <c r="R52" s="51" t="str">
        <f t="shared" si="14"/>
        <v/>
      </c>
      <c r="S52" s="51" t="str">
        <f t="shared" si="14"/>
        <v/>
      </c>
      <c r="T52" s="51" t="str">
        <f t="shared" si="14"/>
        <v/>
      </c>
      <c r="U52" s="51" t="str">
        <f t="shared" si="14"/>
        <v/>
      </c>
      <c r="V52" s="51" t="str">
        <f t="shared" si="14"/>
        <v/>
      </c>
      <c r="W52" s="51" t="str">
        <f t="shared" si="14"/>
        <v/>
      </c>
      <c r="X52" s="51" t="str">
        <f t="shared" si="14"/>
        <v/>
      </c>
      <c r="Y52" s="51" t="str">
        <f t="shared" si="14"/>
        <v/>
      </c>
      <c r="Z52" s="51" t="str">
        <f t="shared" si="14"/>
        <v/>
      </c>
      <c r="AA52" s="51" t="str">
        <f t="shared" si="14"/>
        <v/>
      </c>
      <c r="AB52" s="51" t="str">
        <f t="shared" si="14"/>
        <v/>
      </c>
      <c r="AC52" s="51" t="str">
        <f t="shared" si="14"/>
        <v/>
      </c>
    </row>
    <row r="54" spans="2:29" x14ac:dyDescent="0.25">
      <c r="B54" s="9" t="s">
        <v>31</v>
      </c>
      <c r="D54" s="16"/>
      <c r="E54" s="16">
        <f>E42-E51</f>
        <v>6240</v>
      </c>
      <c r="F54" s="16">
        <f t="shared" ref="F54:AC54" si="15">F42-F51</f>
        <v>6355.5692307692334</v>
      </c>
      <c r="G54" s="16">
        <f t="shared" si="15"/>
        <v>6473.2190769230765</v>
      </c>
      <c r="H54" s="16">
        <f t="shared" si="15"/>
        <v>6592.9853815384595</v>
      </c>
      <c r="I54" s="16">
        <f t="shared" si="15"/>
        <v>6714.904560323077</v>
      </c>
      <c r="J54" s="16">
        <f t="shared" si="15"/>
        <v>6839.0136094622321</v>
      </c>
      <c r="K54" s="16">
        <f t="shared" si="15"/>
        <v>6965.3501135324877</v>
      </c>
      <c r="L54" s="16">
        <f t="shared" si="15"/>
        <v>7093.9522534811695</v>
      </c>
      <c r="M54" s="16">
        <f t="shared" si="15"/>
        <v>7224.8588146707807</v>
      </c>
      <c r="N54" s="16">
        <f t="shared" si="15"/>
        <v>7358.1091949871807</v>
      </c>
      <c r="O54" s="16">
        <f t="shared" si="15"/>
        <v>32472.888123045439</v>
      </c>
      <c r="P54" s="16">
        <f t="shared" si="15"/>
        <v>33071.142503738476</v>
      </c>
      <c r="Q54" s="16">
        <f t="shared" si="15"/>
        <v>33680.081887501205</v>
      </c>
      <c r="R54" s="16">
        <f t="shared" si="15"/>
        <v>34299.887972281373</v>
      </c>
      <c r="S54" s="16">
        <f t="shared" si="15"/>
        <v>34930.745289932915</v>
      </c>
      <c r="T54" s="16">
        <f t="shared" si="15"/>
        <v>35572.841242892609</v>
      </c>
      <c r="U54" s="16">
        <f t="shared" si="15"/>
        <v>36226.366141090541</v>
      </c>
      <c r="V54" s="16">
        <f t="shared" si="15"/>
        <v>36891.513239085936</v>
      </c>
      <c r="W54" s="16">
        <f t="shared" si="15"/>
        <v>37568.478773420567</v>
      </c>
      <c r="X54" s="16">
        <f t="shared" si="15"/>
        <v>38257.462000180712</v>
      </c>
      <c r="Y54" s="16">
        <f t="shared" si="15"/>
        <v>38958.665232758372</v>
      </c>
      <c r="Z54" s="16">
        <f t="shared" si="15"/>
        <v>39672.293879801917</v>
      </c>
      <c r="AA54" s="16">
        <f t="shared" si="15"/>
        <v>40398.556483346059</v>
      </c>
      <c r="AB54" s="16">
        <f t="shared" si="15"/>
        <v>41137.664757109756</v>
      </c>
      <c r="AC54" s="16">
        <f t="shared" si="15"/>
        <v>41889.83362495117</v>
      </c>
    </row>
    <row r="55" spans="2:29" x14ac:dyDescent="0.25"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</row>
    <row r="56" spans="2:29" x14ac:dyDescent="0.25">
      <c r="B56" s="9" t="s">
        <v>16</v>
      </c>
      <c r="D56" s="16"/>
      <c r="E56" s="16">
        <f>D59</f>
        <v>40000</v>
      </c>
      <c r="F56" s="16">
        <f t="shared" ref="F56:N56" si="16">E59</f>
        <v>39600</v>
      </c>
      <c r="G56" s="16">
        <f t="shared" si="16"/>
        <v>39200</v>
      </c>
      <c r="H56" s="16">
        <f t="shared" si="16"/>
        <v>38800</v>
      </c>
      <c r="I56" s="16">
        <f t="shared" si="16"/>
        <v>38400</v>
      </c>
      <c r="J56" s="16">
        <f t="shared" si="16"/>
        <v>38000</v>
      </c>
      <c r="K56" s="16">
        <f t="shared" si="16"/>
        <v>37600</v>
      </c>
      <c r="L56" s="16">
        <f t="shared" si="16"/>
        <v>37200</v>
      </c>
      <c r="M56" s="16">
        <f t="shared" si="16"/>
        <v>36800</v>
      </c>
      <c r="N56" s="16">
        <f t="shared" si="16"/>
        <v>36400</v>
      </c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</row>
    <row r="57" spans="2:29" x14ac:dyDescent="0.25">
      <c r="B57" s="21" t="s">
        <v>61</v>
      </c>
      <c r="D57" s="16"/>
      <c r="E57" s="16">
        <f>-(E56*$C$18)</f>
        <v>-2600</v>
      </c>
      <c r="F57" s="16">
        <f t="shared" ref="F57:N57" si="17">-(F56*$C$18)</f>
        <v>-2574</v>
      </c>
      <c r="G57" s="16">
        <f t="shared" si="17"/>
        <v>-2548</v>
      </c>
      <c r="H57" s="16">
        <f t="shared" si="17"/>
        <v>-2522</v>
      </c>
      <c r="I57" s="16">
        <f t="shared" si="17"/>
        <v>-2496</v>
      </c>
      <c r="J57" s="16">
        <f t="shared" si="17"/>
        <v>-2470</v>
      </c>
      <c r="K57" s="16">
        <f t="shared" si="17"/>
        <v>-2444</v>
      </c>
      <c r="L57" s="16">
        <f t="shared" si="17"/>
        <v>-2418</v>
      </c>
      <c r="M57" s="16">
        <f t="shared" si="17"/>
        <v>-2392</v>
      </c>
      <c r="N57" s="16">
        <f t="shared" si="17"/>
        <v>-2366</v>
      </c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</row>
    <row r="58" spans="2:29" x14ac:dyDescent="0.25">
      <c r="B58" s="21" t="s">
        <v>78</v>
      </c>
      <c r="D58" s="16"/>
      <c r="E58" s="16">
        <f t="shared" ref="E58:N58" si="18">IF(E29&lt;$C$14,-$C$19*$D$59,IF(E29=$C$14,-E56,""))</f>
        <v>-400</v>
      </c>
      <c r="F58" s="16">
        <f t="shared" si="18"/>
        <v>-400</v>
      </c>
      <c r="G58" s="16">
        <f t="shared" si="18"/>
        <v>-400</v>
      </c>
      <c r="H58" s="16">
        <f t="shared" si="18"/>
        <v>-400</v>
      </c>
      <c r="I58" s="16">
        <f t="shared" si="18"/>
        <v>-400</v>
      </c>
      <c r="J58" s="16">
        <f t="shared" si="18"/>
        <v>-400</v>
      </c>
      <c r="K58" s="16">
        <f t="shared" si="18"/>
        <v>-400</v>
      </c>
      <c r="L58" s="16">
        <f t="shared" si="18"/>
        <v>-400</v>
      </c>
      <c r="M58" s="16">
        <f t="shared" si="18"/>
        <v>-400</v>
      </c>
      <c r="N58" s="16">
        <f t="shared" si="18"/>
        <v>-36400</v>
      </c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</row>
    <row r="59" spans="2:29" x14ac:dyDescent="0.25">
      <c r="B59" s="9" t="s">
        <v>18</v>
      </c>
      <c r="D59" s="16">
        <f>$C$16*C7</f>
        <v>40000</v>
      </c>
      <c r="E59" s="16">
        <f t="shared" ref="E59:N59" si="19">E56+E58</f>
        <v>39600</v>
      </c>
      <c r="F59" s="16">
        <f t="shared" si="19"/>
        <v>39200</v>
      </c>
      <c r="G59" s="16">
        <f t="shared" si="19"/>
        <v>38800</v>
      </c>
      <c r="H59" s="16">
        <f t="shared" si="19"/>
        <v>38400</v>
      </c>
      <c r="I59" s="16">
        <f t="shared" si="19"/>
        <v>38000</v>
      </c>
      <c r="J59" s="16">
        <f t="shared" si="19"/>
        <v>37600</v>
      </c>
      <c r="K59" s="16">
        <f t="shared" si="19"/>
        <v>37200</v>
      </c>
      <c r="L59" s="16">
        <f t="shared" si="19"/>
        <v>36800</v>
      </c>
      <c r="M59" s="16">
        <f t="shared" si="19"/>
        <v>36400</v>
      </c>
      <c r="N59" s="16">
        <f t="shared" si="19"/>
        <v>0</v>
      </c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</row>
    <row r="60" spans="2:29" x14ac:dyDescent="0.25"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</row>
    <row r="61" spans="2:29" x14ac:dyDescent="0.25">
      <c r="B61" s="9" t="s">
        <v>39</v>
      </c>
      <c r="D61" s="16"/>
      <c r="E61" s="16">
        <f t="shared" ref="E61:N61" si="20">-(E57+E58)</f>
        <v>3000</v>
      </c>
      <c r="F61" s="16">
        <f t="shared" si="20"/>
        <v>2974</v>
      </c>
      <c r="G61" s="16">
        <f t="shared" si="20"/>
        <v>2948</v>
      </c>
      <c r="H61" s="16">
        <f t="shared" si="20"/>
        <v>2922</v>
      </c>
      <c r="I61" s="16">
        <f t="shared" si="20"/>
        <v>2896</v>
      </c>
      <c r="J61" s="16">
        <f t="shared" si="20"/>
        <v>2870</v>
      </c>
      <c r="K61" s="16">
        <f t="shared" si="20"/>
        <v>2844</v>
      </c>
      <c r="L61" s="16">
        <f t="shared" si="20"/>
        <v>2818</v>
      </c>
      <c r="M61" s="16">
        <f t="shared" si="20"/>
        <v>2792</v>
      </c>
      <c r="N61" s="16">
        <f t="shared" si="20"/>
        <v>38766</v>
      </c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</row>
    <row r="62" spans="2:29" x14ac:dyDescent="0.25">
      <c r="B62" s="9" t="s">
        <v>40</v>
      </c>
      <c r="E62" s="51">
        <f t="shared" ref="E62:N62" si="21">E42/(E51+E61)</f>
        <v>1.1361344537815126</v>
      </c>
      <c r="F62" s="51">
        <f t="shared" si="21"/>
        <v>1.139970070366479</v>
      </c>
      <c r="G62" s="51">
        <f t="shared" si="21"/>
        <v>1.1437374933412823</v>
      </c>
      <c r="H62" s="51">
        <f t="shared" si="21"/>
        <v>1.1474373152201269</v>
      </c>
      <c r="I62" s="51">
        <f t="shared" si="21"/>
        <v>1.1510701477073515</v>
      </c>
      <c r="J62" s="51">
        <f t="shared" si="21"/>
        <v>1.1546366205607042</v>
      </c>
      <c r="K62" s="51">
        <f t="shared" si="21"/>
        <v>1.1581373804741308</v>
      </c>
      <c r="L62" s="51">
        <f t="shared" si="21"/>
        <v>1.1615730899812247</v>
      </c>
      <c r="M62" s="51">
        <f t="shared" si="21"/>
        <v>1.1649444263803705</v>
      </c>
      <c r="N62" s="51">
        <f t="shared" si="21"/>
        <v>0.50377015474714004</v>
      </c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</row>
    <row r="64" spans="2:29" x14ac:dyDescent="0.25">
      <c r="B64" s="9" t="s">
        <v>25</v>
      </c>
      <c r="C64" s="5"/>
      <c r="D64" s="16">
        <f>-(C23-D49-D59)</f>
        <v>-202203.93326768771</v>
      </c>
      <c r="E64" s="16">
        <f t="shared" ref="E64:AC64" si="22">E42-E51-E61</f>
        <v>3240</v>
      </c>
      <c r="F64" s="16">
        <f t="shared" si="22"/>
        <v>3381.5692307692334</v>
      </c>
      <c r="G64" s="16">
        <f t="shared" si="22"/>
        <v>3525.2190769230765</v>
      </c>
      <c r="H64" s="16">
        <f t="shared" si="22"/>
        <v>3670.9853815384595</v>
      </c>
      <c r="I64" s="16">
        <f t="shared" si="22"/>
        <v>3818.904560323077</v>
      </c>
      <c r="J64" s="16">
        <f t="shared" si="22"/>
        <v>3969.0136094622321</v>
      </c>
      <c r="K64" s="16">
        <f t="shared" si="22"/>
        <v>4121.3501135324877</v>
      </c>
      <c r="L64" s="16">
        <f t="shared" si="22"/>
        <v>4275.9522534811695</v>
      </c>
      <c r="M64" s="16">
        <f t="shared" si="22"/>
        <v>4432.8588146707807</v>
      </c>
      <c r="N64" s="16">
        <f t="shared" si="22"/>
        <v>-31407.890805012819</v>
      </c>
      <c r="O64" s="16">
        <f t="shared" si="22"/>
        <v>32472.888123045439</v>
      </c>
      <c r="P64" s="16">
        <f t="shared" si="22"/>
        <v>33071.142503738476</v>
      </c>
      <c r="Q64" s="16">
        <f t="shared" si="22"/>
        <v>33680.081887501205</v>
      </c>
      <c r="R64" s="16">
        <f t="shared" si="22"/>
        <v>34299.887972281373</v>
      </c>
      <c r="S64" s="16">
        <f t="shared" si="22"/>
        <v>34930.745289932915</v>
      </c>
      <c r="T64" s="16">
        <f t="shared" si="22"/>
        <v>35572.841242892609</v>
      </c>
      <c r="U64" s="16">
        <f t="shared" si="22"/>
        <v>36226.366141090541</v>
      </c>
      <c r="V64" s="16">
        <f t="shared" si="22"/>
        <v>36891.513239085936</v>
      </c>
      <c r="W64" s="16">
        <f t="shared" si="22"/>
        <v>37568.478773420567</v>
      </c>
      <c r="X64" s="16">
        <f t="shared" si="22"/>
        <v>38257.462000180712</v>
      </c>
      <c r="Y64" s="16">
        <f t="shared" si="22"/>
        <v>38958.665232758372</v>
      </c>
      <c r="Z64" s="16">
        <f t="shared" si="22"/>
        <v>39672.293879801917</v>
      </c>
      <c r="AA64" s="16">
        <f t="shared" si="22"/>
        <v>40398.556483346059</v>
      </c>
      <c r="AB64" s="16">
        <f t="shared" si="22"/>
        <v>41137.664757109756</v>
      </c>
      <c r="AC64" s="16">
        <f t="shared" si="22"/>
        <v>41889.83362495117</v>
      </c>
    </row>
    <row r="65" spans="2:29" x14ac:dyDescent="0.25">
      <c r="B65" s="21" t="s">
        <v>70</v>
      </c>
      <c r="D65" s="16">
        <f>SUM($D$64:D64)</f>
        <v>-202203.93326768771</v>
      </c>
      <c r="E65" s="16">
        <f>SUM($D$64:E64)</f>
        <v>-198963.93326768771</v>
      </c>
      <c r="F65" s="16">
        <f>SUM($D$64:F64)</f>
        <v>-195582.36403691847</v>
      </c>
      <c r="G65" s="16">
        <f>SUM($D$64:G64)</f>
        <v>-192057.14495999541</v>
      </c>
      <c r="H65" s="16">
        <f>SUM($D$64:H64)</f>
        <v>-188386.15957845695</v>
      </c>
      <c r="I65" s="16">
        <f>SUM($D$64:I64)</f>
        <v>-184567.25501813387</v>
      </c>
      <c r="J65" s="16">
        <f>SUM($D$64:J64)</f>
        <v>-180598.24140867163</v>
      </c>
      <c r="K65" s="16">
        <f>SUM($D$64:K64)</f>
        <v>-176476.89129513915</v>
      </c>
      <c r="L65" s="16">
        <f>SUM($D$64:L64)</f>
        <v>-172200.93904165798</v>
      </c>
      <c r="M65" s="16">
        <f>SUM($D$64:M64)</f>
        <v>-167768.08022698719</v>
      </c>
      <c r="N65" s="16">
        <f>SUM($D$64:N64)</f>
        <v>-199175.971032</v>
      </c>
      <c r="O65" s="16">
        <f>SUM($D$64:O64)</f>
        <v>-166703.08290895456</v>
      </c>
      <c r="P65" s="16">
        <f>SUM($D$64:P64)</f>
        <v>-133631.94040521607</v>
      </c>
      <c r="Q65" s="16">
        <f>SUM($D$64:Q64)</f>
        <v>-99951.858517714863</v>
      </c>
      <c r="R65" s="16">
        <f>SUM($D$64:R64)</f>
        <v>-65651.970545433491</v>
      </c>
      <c r="S65" s="16">
        <f>SUM($D$64:S64)</f>
        <v>-30721.225255500576</v>
      </c>
      <c r="T65" s="16">
        <f>SUM($D$64:T64)</f>
        <v>4851.6159873920333</v>
      </c>
      <c r="U65" s="16">
        <f>SUM($D$64:U64)</f>
        <v>41077.982128482574</v>
      </c>
      <c r="V65" s="16">
        <f>SUM($D$64:V64)</f>
        <v>77969.49536756851</v>
      </c>
      <c r="W65" s="16">
        <f>SUM($D$64:W64)</f>
        <v>115537.97414098907</v>
      </c>
      <c r="X65" s="16">
        <f>SUM($D$64:X64)</f>
        <v>153795.43614116978</v>
      </c>
      <c r="Y65" s="16">
        <f>SUM($D$64:Y64)</f>
        <v>192754.10137392813</v>
      </c>
      <c r="Z65" s="16">
        <f>SUM($D$64:Z64)</f>
        <v>232426.39525373006</v>
      </c>
      <c r="AA65" s="16">
        <f>SUM($D$64:AA64)</f>
        <v>272824.9517370761</v>
      </c>
      <c r="AB65" s="16">
        <f>SUM($D$64:AB64)</f>
        <v>313962.61649418587</v>
      </c>
      <c r="AC65" s="16">
        <f>SUM($D$64:AC64)</f>
        <v>355852.45011913707</v>
      </c>
    </row>
    <row r="66" spans="2:29" x14ac:dyDescent="0.25">
      <c r="B66" s="9" t="s">
        <v>71</v>
      </c>
      <c r="E66" s="6" t="str">
        <f t="shared" ref="E66:AC66" si="23">IF(AND(D65&lt;0,E65&gt;=0),E29-E65/(ABS(D65)+E65),"")</f>
        <v/>
      </c>
      <c r="F66" s="6" t="str">
        <f t="shared" si="23"/>
        <v/>
      </c>
      <c r="G66" s="6" t="str">
        <f t="shared" si="23"/>
        <v/>
      </c>
      <c r="H66" s="6" t="str">
        <f t="shared" si="23"/>
        <v/>
      </c>
      <c r="I66" s="6" t="str">
        <f t="shared" si="23"/>
        <v/>
      </c>
      <c r="J66" s="6" t="str">
        <f t="shared" si="23"/>
        <v/>
      </c>
      <c r="K66" s="6" t="str">
        <f t="shared" si="23"/>
        <v/>
      </c>
      <c r="L66" s="6" t="str">
        <f t="shared" si="23"/>
        <v/>
      </c>
      <c r="M66" s="6" t="str">
        <f t="shared" si="23"/>
        <v/>
      </c>
      <c r="N66" s="6" t="str">
        <f t="shared" si="23"/>
        <v/>
      </c>
      <c r="O66" s="6" t="str">
        <f t="shared" si="23"/>
        <v/>
      </c>
      <c r="P66" s="6" t="str">
        <f t="shared" si="23"/>
        <v/>
      </c>
      <c r="Q66" s="6" t="str">
        <f t="shared" si="23"/>
        <v/>
      </c>
      <c r="R66" s="16" t="str">
        <f t="shared" si="23"/>
        <v/>
      </c>
      <c r="S66" s="6" t="str">
        <f t="shared" si="23"/>
        <v/>
      </c>
      <c r="T66" s="6">
        <f t="shared" si="23"/>
        <v>15.863614605472049</v>
      </c>
      <c r="U66" s="6" t="str">
        <f t="shared" si="23"/>
        <v/>
      </c>
      <c r="V66" s="6" t="str">
        <f t="shared" si="23"/>
        <v/>
      </c>
      <c r="W66" s="6" t="str">
        <f t="shared" si="23"/>
        <v/>
      </c>
      <c r="X66" s="6" t="str">
        <f t="shared" si="23"/>
        <v/>
      </c>
      <c r="Y66" s="6" t="str">
        <f t="shared" si="23"/>
        <v/>
      </c>
      <c r="Z66" s="6" t="str">
        <f t="shared" si="23"/>
        <v/>
      </c>
      <c r="AA66" s="6" t="str">
        <f t="shared" si="23"/>
        <v/>
      </c>
      <c r="AB66" s="6" t="str">
        <f t="shared" si="23"/>
        <v/>
      </c>
      <c r="AC66" s="6" t="str">
        <f t="shared" si="23"/>
        <v/>
      </c>
    </row>
    <row r="67" spans="2:29" x14ac:dyDescent="0.25">
      <c r="P67" s="6"/>
      <c r="Q67" s="6"/>
    </row>
    <row r="68" spans="2:29" x14ac:dyDescent="0.25">
      <c r="B68" s="38" t="s">
        <v>26</v>
      </c>
      <c r="C68" s="8"/>
      <c r="D68" s="39">
        <f>IRR(D64:AC64)</f>
        <v>6.0850106821596306E-2</v>
      </c>
      <c r="E68" s="40"/>
    </row>
    <row r="69" spans="2:29" x14ac:dyDescent="0.25">
      <c r="B69" s="41" t="s">
        <v>27</v>
      </c>
      <c r="C69" s="29"/>
      <c r="D69" s="42">
        <f>MAX(E66:AC66)</f>
        <v>15.863614605472049</v>
      </c>
      <c r="E69" s="43" t="s">
        <v>30</v>
      </c>
    </row>
    <row r="70" spans="2:29" x14ac:dyDescent="0.25">
      <c r="B70" s="41" t="s">
        <v>29</v>
      </c>
      <c r="C70" s="29"/>
      <c r="D70" s="44">
        <f>-SUM(E64:AC64)/D64</f>
        <v>2.7598690805289219</v>
      </c>
      <c r="E70" s="43"/>
    </row>
    <row r="71" spans="2:29" x14ac:dyDescent="0.25">
      <c r="B71" s="45" t="s">
        <v>28</v>
      </c>
      <c r="C71" s="11"/>
      <c r="D71" s="46">
        <f>-SUMPRODUCT(E48:AC48,E29:AC29)/D49</f>
        <v>6.0490202948010365</v>
      </c>
      <c r="E71" s="47" t="s">
        <v>30</v>
      </c>
    </row>
  </sheetData>
  <pageMargins left="0.45" right="0.45" top="0.75" bottom="0.75" header="0.3" footer="0.3"/>
  <pageSetup scale="65" fitToWidth="2" orientation="landscape" r:id="rId1"/>
  <ignoredErrors>
    <ignoredError sqref="D7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6</vt:i4>
      </vt:variant>
      <vt:variant>
        <vt:lpstr>Charts</vt:lpstr>
      </vt:variant>
      <vt:variant>
        <vt:i4>2</vt:i4>
      </vt:variant>
      <vt:variant>
        <vt:lpstr>Named Ranges</vt:lpstr>
      </vt:variant>
      <vt:variant>
        <vt:i4>6</vt:i4>
      </vt:variant>
    </vt:vector>
  </HeadingPairs>
  <TitlesOfParts>
    <vt:vector size="14" baseType="lpstr">
      <vt:lpstr>P-50</vt:lpstr>
      <vt:lpstr>P-99</vt:lpstr>
      <vt:lpstr>Returns with first-lien debt</vt:lpstr>
      <vt:lpstr>Returns with second-lien debt</vt:lpstr>
      <vt:lpstr>Returns with TLB cash sweep</vt:lpstr>
      <vt:lpstr>Returns with quasi-merchant</vt:lpstr>
      <vt:lpstr>First-lien debt service</vt:lpstr>
      <vt:lpstr>Cumulative Pre-tax Equity IRR</vt:lpstr>
      <vt:lpstr>'P-50'!Print_Area</vt:lpstr>
      <vt:lpstr>'P-99'!Print_Area</vt:lpstr>
      <vt:lpstr>'Returns with first-lien debt'!Print_Area</vt:lpstr>
      <vt:lpstr>'Returns with quasi-merchant'!Print_Area</vt:lpstr>
      <vt:lpstr>'Returns with second-lien debt'!Print_Area</vt:lpstr>
      <vt:lpstr>'Returns with TLB cash sweep'!Print_Area</vt:lpstr>
    </vt:vector>
  </TitlesOfParts>
  <Company>State Street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Raikar, Santosh</dc:creator>
  <cp:keywords>General</cp:keywords>
  <cp:lastModifiedBy>Raikar, Santosh</cp:lastModifiedBy>
  <cp:lastPrinted>2018-07-11T16:17:13Z</cp:lastPrinted>
  <dcterms:created xsi:type="dcterms:W3CDTF">2018-02-23T00:24:54Z</dcterms:created>
  <dcterms:modified xsi:type="dcterms:W3CDTF">2020-02-10T12:12:23Z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5f90b142-6296-4e9b-b58a-d53506ae6760</vt:lpwstr>
  </property>
  <property fmtid="{D5CDD505-2E9C-101B-9397-08002B2CF9AE}" pid="3" name="SSCClassification">
    <vt:lpwstr>G</vt:lpwstr>
  </property>
  <property fmtid="{D5CDD505-2E9C-101B-9397-08002B2CF9AE}" pid="4" name="SSCVisualMarks">
    <vt:lpwstr>N</vt:lpwstr>
  </property>
</Properties>
</file>