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ntosh\Personal\Energy Finance Class\Energy Finance Class\Elsevier-ST-Book Proposal\Final Spreadsheets\"/>
    </mc:Choice>
  </mc:AlternateContent>
  <bookViews>
    <workbookView xWindow="0" yWindow="0" windowWidth="23040" windowHeight="9384" activeTab="2"/>
  </bookViews>
  <sheets>
    <sheet name="Assumptions" sheetId="1" r:id="rId1"/>
    <sheet name="Cash Flows" sheetId="2" r:id="rId2"/>
    <sheet name="Tax Equity and Partnership" sheetId="5" r:id="rId3"/>
    <sheet name="Depreciation" sheetId="3" r:id="rId4"/>
    <sheet name="Debt" sheetId="4" r:id="rId5"/>
  </sheets>
  <definedNames>
    <definedName name="solver_adj" localSheetId="4" hidden="1">Debt!#REF!</definedName>
    <definedName name="solver_cvg" localSheetId="4" hidden="1">0.0001</definedName>
    <definedName name="solver_drv" localSheetId="4" hidden="1">1</definedName>
    <definedName name="solver_eng" localSheetId="4" hidden="1">1</definedName>
    <definedName name="solver_est" localSheetId="4" hidden="1">1</definedName>
    <definedName name="solver_itr" localSheetId="4" hidden="1">2147483647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1</definedName>
    <definedName name="solver_nod" localSheetId="4" hidden="1">2147483647</definedName>
    <definedName name="solver_num" localSheetId="4" hidden="1">0</definedName>
    <definedName name="solver_nwt" localSheetId="4" hidden="1">1</definedName>
    <definedName name="solver_opt" localSheetId="4" hidden="1">Debt!#REF!</definedName>
    <definedName name="solver_pre" localSheetId="4" hidden="1">0.000001</definedName>
    <definedName name="solver_rbv" localSheetId="4" hidden="1">1</definedName>
    <definedName name="solver_rlx" localSheetId="4" hidden="1">2</definedName>
    <definedName name="solver_rsd" localSheetId="4" hidden="1">0</definedName>
    <definedName name="solver_scl" localSheetId="4" hidden="1">1</definedName>
    <definedName name="solver_sho" localSheetId="4" hidden="1">2</definedName>
    <definedName name="solver_ssz" localSheetId="4" hidden="1">100</definedName>
    <definedName name="solver_tim" localSheetId="4" hidden="1">2147483647</definedName>
    <definedName name="solver_tol" localSheetId="4" hidden="1">0.01</definedName>
    <definedName name="solver_typ" localSheetId="4" hidden="1">3</definedName>
    <definedName name="solver_val" localSheetId="4" hidden="1">1.3</definedName>
    <definedName name="solver_ver" localSheetId="4" hidden="1">3</definedName>
  </definedNames>
  <calcPr calcId="152511" calcMode="autoNoTable" iterate="1" iterateDelta="1.0000000000000001E-5"/>
</workbook>
</file>

<file path=xl/calcChain.xml><?xml version="1.0" encoding="utf-8"?>
<calcChain xmlns="http://schemas.openxmlformats.org/spreadsheetml/2006/main">
  <c r="AB40" i="5" l="1"/>
  <c r="C148" i="5"/>
  <c r="AB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C168" i="5" l="1"/>
  <c r="C150" i="5"/>
  <c r="F40" i="5" l="1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D19" i="3" l="1"/>
  <c r="N8" i="5" l="1"/>
  <c r="N9" i="5" s="1"/>
  <c r="N10" i="5" s="1"/>
  <c r="J20" i="3"/>
  <c r="D15" i="5" l="1"/>
  <c r="D14" i="5"/>
  <c r="D14" i="4"/>
  <c r="D7" i="2"/>
  <c r="D6" i="2"/>
  <c r="X23" i="4" l="1"/>
  <c r="Y23" i="4"/>
  <c r="Z23" i="4"/>
  <c r="AA23" i="4"/>
  <c r="AB23" i="4"/>
  <c r="X12" i="2"/>
  <c r="Y12" i="2"/>
  <c r="Z12" i="2"/>
  <c r="AA12" i="2" s="1"/>
  <c r="AB12" i="2" l="1"/>
  <c r="E86" i="5" l="1"/>
  <c r="F86" i="5" s="1"/>
  <c r="G86" i="5" s="1"/>
  <c r="H86" i="5" s="1"/>
  <c r="I86" i="5" s="1"/>
  <c r="J86" i="5" s="1"/>
  <c r="K86" i="5" s="1"/>
  <c r="L86" i="5" s="1"/>
  <c r="M86" i="5" s="1"/>
  <c r="N86" i="5" s="1"/>
  <c r="O86" i="5" s="1"/>
  <c r="P86" i="5" s="1"/>
  <c r="Q86" i="5" s="1"/>
  <c r="R86" i="5" s="1"/>
  <c r="S86" i="5" s="1"/>
  <c r="T86" i="5" s="1"/>
  <c r="U86" i="5" s="1"/>
  <c r="V86" i="5" s="1"/>
  <c r="W86" i="5" s="1"/>
  <c r="X86" i="5" s="1"/>
  <c r="Y86" i="5" s="1"/>
  <c r="Z86" i="5" s="1"/>
  <c r="AA86" i="5" s="1"/>
  <c r="AB86" i="5" s="1"/>
  <c r="E182" i="5"/>
  <c r="F182" i="5" s="1"/>
  <c r="G182" i="5" s="1"/>
  <c r="H182" i="5" s="1"/>
  <c r="I182" i="5" s="1"/>
  <c r="J182" i="5" s="1"/>
  <c r="K182" i="5" s="1"/>
  <c r="L182" i="5" s="1"/>
  <c r="M182" i="5" s="1"/>
  <c r="N182" i="5" s="1"/>
  <c r="O182" i="5" s="1"/>
  <c r="P182" i="5" s="1"/>
  <c r="Q182" i="5" s="1"/>
  <c r="R182" i="5" s="1"/>
  <c r="S182" i="5" s="1"/>
  <c r="T182" i="5" s="1"/>
  <c r="U182" i="5" s="1"/>
  <c r="V182" i="5" s="1"/>
  <c r="W182" i="5" s="1"/>
  <c r="X182" i="5" s="1"/>
  <c r="Y182" i="5" s="1"/>
  <c r="Z182" i="5" s="1"/>
  <c r="AA182" i="5" s="1"/>
  <c r="AB182" i="5" s="1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I20" i="3"/>
  <c r="H20" i="3"/>
  <c r="G20" i="3"/>
  <c r="F20" i="3"/>
  <c r="E20" i="3"/>
  <c r="C20" i="3"/>
  <c r="D18" i="3"/>
  <c r="D17" i="3"/>
  <c r="D16" i="3"/>
  <c r="F47" i="3"/>
  <c r="G47" i="3" s="1"/>
  <c r="H47" i="3" s="1"/>
  <c r="I47" i="3" s="1"/>
  <c r="J47" i="3" s="1"/>
  <c r="K47" i="3" s="1"/>
  <c r="L47" i="3" s="1"/>
  <c r="M47" i="3" s="1"/>
  <c r="N47" i="3" s="1"/>
  <c r="O47" i="3" s="1"/>
  <c r="P47" i="3" s="1"/>
  <c r="Q47" i="3" s="1"/>
  <c r="R47" i="3" s="1"/>
  <c r="S47" i="3" s="1"/>
  <c r="T47" i="3" s="1"/>
  <c r="U47" i="3" s="1"/>
  <c r="V47" i="3" s="1"/>
  <c r="W47" i="3" s="1"/>
  <c r="X47" i="3" s="1"/>
  <c r="Y47" i="3" s="1"/>
  <c r="Z47" i="3" s="1"/>
  <c r="AA47" i="3" s="1"/>
  <c r="AB47" i="3" s="1"/>
  <c r="AC47" i="3" s="1"/>
  <c r="AD47" i="3" s="1"/>
  <c r="AE47" i="3" s="1"/>
  <c r="AF47" i="3" s="1"/>
  <c r="AG47" i="3" s="1"/>
  <c r="AH47" i="3" s="1"/>
  <c r="AI47" i="3" s="1"/>
  <c r="AJ47" i="3" s="1"/>
  <c r="AK47" i="3" s="1"/>
  <c r="AL47" i="3" s="1"/>
  <c r="AM47" i="3" s="1"/>
  <c r="AN47" i="3" s="1"/>
  <c r="AO47" i="3" s="1"/>
  <c r="AP47" i="3" s="1"/>
  <c r="AQ47" i="3" s="1"/>
  <c r="D48" i="3"/>
  <c r="D49" i="3"/>
  <c r="D50" i="3"/>
  <c r="D51" i="3"/>
  <c r="C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D52" i="3" l="1"/>
  <c r="C166" i="5" l="1"/>
  <c r="D50" i="5" l="1"/>
  <c r="D114" i="2" s="1"/>
  <c r="D47" i="5"/>
  <c r="D185" i="5" s="1"/>
  <c r="O5" i="5"/>
  <c r="N5" i="5"/>
  <c r="M5" i="5"/>
  <c r="L5" i="5"/>
  <c r="D44" i="5"/>
  <c r="E19" i="5"/>
  <c r="F19" i="5" s="1"/>
  <c r="G19" i="5" s="1"/>
  <c r="H19" i="5" s="1"/>
  <c r="I19" i="5" s="1"/>
  <c r="J19" i="5" s="1"/>
  <c r="K19" i="5" s="1"/>
  <c r="L19" i="5" s="1"/>
  <c r="M19" i="5" s="1"/>
  <c r="N19" i="5" s="1"/>
  <c r="O19" i="5" s="1"/>
  <c r="P19" i="5" s="1"/>
  <c r="Q19" i="5" s="1"/>
  <c r="R19" i="5" s="1"/>
  <c r="S19" i="5" s="1"/>
  <c r="T19" i="5" s="1"/>
  <c r="U19" i="5" s="1"/>
  <c r="V19" i="5" s="1"/>
  <c r="W19" i="5" s="1"/>
  <c r="W44" i="5" l="1"/>
  <c r="X19" i="5"/>
  <c r="D186" i="5"/>
  <c r="D51" i="5"/>
  <c r="D113" i="2" s="1"/>
  <c r="D48" i="5"/>
  <c r="W47" i="5"/>
  <c r="W185" i="5" s="1"/>
  <c r="M50" i="5"/>
  <c r="M114" i="2" s="1"/>
  <c r="G47" i="5"/>
  <c r="G185" i="5" s="1"/>
  <c r="U45" i="5"/>
  <c r="R78" i="5"/>
  <c r="N78" i="5"/>
  <c r="O47" i="5"/>
  <c r="O185" i="5" s="1"/>
  <c r="U50" i="5"/>
  <c r="U114" i="2" s="1"/>
  <c r="E50" i="5"/>
  <c r="E114" i="2" s="1"/>
  <c r="V78" i="5"/>
  <c r="K47" i="5"/>
  <c r="K185" i="5" s="1"/>
  <c r="I50" i="5"/>
  <c r="I114" i="2" s="1"/>
  <c r="S47" i="5"/>
  <c r="S185" i="5" s="1"/>
  <c r="Q50" i="5"/>
  <c r="Q114" i="2" s="1"/>
  <c r="Q45" i="5"/>
  <c r="T50" i="5"/>
  <c r="T114" i="2" s="1"/>
  <c r="P50" i="5"/>
  <c r="P114" i="2" s="1"/>
  <c r="L50" i="5"/>
  <c r="L114" i="2" s="1"/>
  <c r="H50" i="5"/>
  <c r="H114" i="2" s="1"/>
  <c r="N45" i="5"/>
  <c r="R45" i="5"/>
  <c r="V45" i="5"/>
  <c r="O78" i="5"/>
  <c r="S78" i="5"/>
  <c r="W78" i="5"/>
  <c r="E47" i="5"/>
  <c r="E185" i="5" s="1"/>
  <c r="I47" i="5"/>
  <c r="I185" i="5" s="1"/>
  <c r="M47" i="5"/>
  <c r="M185" i="5" s="1"/>
  <c r="Q47" i="5"/>
  <c r="Q185" i="5" s="1"/>
  <c r="U47" i="5"/>
  <c r="U185" i="5" s="1"/>
  <c r="W50" i="5"/>
  <c r="W114" i="2" s="1"/>
  <c r="S50" i="5"/>
  <c r="S114" i="2" s="1"/>
  <c r="O50" i="5"/>
  <c r="O114" i="2" s="1"/>
  <c r="K50" i="5"/>
  <c r="K114" i="2" s="1"/>
  <c r="G50" i="5"/>
  <c r="G114" i="2" s="1"/>
  <c r="O45" i="5"/>
  <c r="S45" i="5"/>
  <c r="W45" i="5"/>
  <c r="P78" i="5"/>
  <c r="T78" i="5"/>
  <c r="H47" i="5"/>
  <c r="H185" i="5" s="1"/>
  <c r="L47" i="5"/>
  <c r="L185" i="5" s="1"/>
  <c r="P47" i="5"/>
  <c r="P185" i="5" s="1"/>
  <c r="T47" i="5"/>
  <c r="T185" i="5" s="1"/>
  <c r="F47" i="5"/>
  <c r="F185" i="5" s="1"/>
  <c r="J47" i="5"/>
  <c r="J185" i="5" s="1"/>
  <c r="N47" i="5"/>
  <c r="N185" i="5" s="1"/>
  <c r="R47" i="5"/>
  <c r="R185" i="5" s="1"/>
  <c r="V47" i="5"/>
  <c r="V185" i="5" s="1"/>
  <c r="V50" i="5"/>
  <c r="V114" i="2" s="1"/>
  <c r="R50" i="5"/>
  <c r="R114" i="2" s="1"/>
  <c r="N50" i="5"/>
  <c r="N114" i="2" s="1"/>
  <c r="J50" i="5"/>
  <c r="J114" i="2" s="1"/>
  <c r="F50" i="5"/>
  <c r="F114" i="2" s="1"/>
  <c r="P45" i="5"/>
  <c r="T45" i="5"/>
  <c r="Q78" i="5"/>
  <c r="U78" i="5"/>
  <c r="T44" i="5"/>
  <c r="P44" i="5"/>
  <c r="L44" i="5"/>
  <c r="H44" i="5"/>
  <c r="S44" i="5"/>
  <c r="O44" i="5"/>
  <c r="K44" i="5"/>
  <c r="G44" i="5"/>
  <c r="V44" i="5"/>
  <c r="R44" i="5"/>
  <c r="N44" i="5"/>
  <c r="J44" i="5"/>
  <c r="F44" i="5"/>
  <c r="U44" i="5"/>
  <c r="Q44" i="5"/>
  <c r="M44" i="5"/>
  <c r="I44" i="5"/>
  <c r="E44" i="5"/>
  <c r="X78" i="5" l="1"/>
  <c r="X44" i="5"/>
  <c r="Y19" i="5"/>
  <c r="X45" i="5"/>
  <c r="X50" i="5"/>
  <c r="X47" i="5"/>
  <c r="O186" i="5"/>
  <c r="M186" i="5"/>
  <c r="P186" i="5"/>
  <c r="E186" i="5"/>
  <c r="I186" i="5"/>
  <c r="V186" i="5"/>
  <c r="S186" i="5"/>
  <c r="X185" i="5"/>
  <c r="W186" i="5"/>
  <c r="U186" i="5"/>
  <c r="G186" i="5"/>
  <c r="R186" i="5"/>
  <c r="L186" i="5"/>
  <c r="N186" i="5"/>
  <c r="K186" i="5"/>
  <c r="Q186" i="5"/>
  <c r="J186" i="5"/>
  <c r="F186" i="5"/>
  <c r="H186" i="5"/>
  <c r="T186" i="5"/>
  <c r="Q51" i="5"/>
  <c r="Q113" i="2" s="1"/>
  <c r="M51" i="5"/>
  <c r="M113" i="2" s="1"/>
  <c r="I51" i="5"/>
  <c r="I113" i="2" s="1"/>
  <c r="G51" i="5"/>
  <c r="G113" i="2" s="1"/>
  <c r="V51" i="5"/>
  <c r="V113" i="2" s="1"/>
  <c r="O51" i="5"/>
  <c r="O113" i="2" s="1"/>
  <c r="E51" i="5"/>
  <c r="E113" i="2" s="1"/>
  <c r="U51" i="5"/>
  <c r="U113" i="2" s="1"/>
  <c r="W51" i="5"/>
  <c r="W113" i="2" s="1"/>
  <c r="H51" i="5"/>
  <c r="H113" i="2" s="1"/>
  <c r="F51" i="5"/>
  <c r="F113" i="2" s="1"/>
  <c r="L51" i="5"/>
  <c r="L113" i="2" s="1"/>
  <c r="S51" i="5"/>
  <c r="S113" i="2" s="1"/>
  <c r="J51" i="5"/>
  <c r="J113" i="2" s="1"/>
  <c r="P51" i="5"/>
  <c r="P113" i="2" s="1"/>
  <c r="N51" i="5"/>
  <c r="N113" i="2" s="1"/>
  <c r="T51" i="5"/>
  <c r="T113" i="2" s="1"/>
  <c r="K51" i="5"/>
  <c r="K113" i="2" s="1"/>
  <c r="R51" i="5"/>
  <c r="R113" i="2" s="1"/>
  <c r="Q60" i="5"/>
  <c r="Q220" i="5" s="1"/>
  <c r="W48" i="5"/>
  <c r="W69" i="5" s="1"/>
  <c r="W226" i="5" s="1"/>
  <c r="G48" i="5"/>
  <c r="R48" i="5"/>
  <c r="R69" i="5" s="1"/>
  <c r="R226" i="5" s="1"/>
  <c r="N48" i="5"/>
  <c r="N69" i="5" s="1"/>
  <c r="N226" i="5" s="1"/>
  <c r="K48" i="5"/>
  <c r="I48" i="5"/>
  <c r="S48" i="5"/>
  <c r="S69" i="5" s="1"/>
  <c r="S226" i="5" s="1"/>
  <c r="J48" i="5"/>
  <c r="F48" i="5"/>
  <c r="T48" i="5"/>
  <c r="T69" i="5" s="1"/>
  <c r="T226" i="5" s="1"/>
  <c r="M48" i="5"/>
  <c r="P48" i="5"/>
  <c r="P69" i="5" s="1"/>
  <c r="P226" i="5" s="1"/>
  <c r="O48" i="5"/>
  <c r="O69" i="5" s="1"/>
  <c r="O226" i="5" s="1"/>
  <c r="L48" i="5"/>
  <c r="U48" i="5"/>
  <c r="U69" i="5" s="1"/>
  <c r="U226" i="5" s="1"/>
  <c r="E48" i="5"/>
  <c r="V48" i="5"/>
  <c r="V69" i="5" s="1"/>
  <c r="V226" i="5" s="1"/>
  <c r="H48" i="5"/>
  <c r="Q48" i="5"/>
  <c r="Q69" i="5" s="1"/>
  <c r="Q226" i="5" s="1"/>
  <c r="S60" i="5"/>
  <c r="S220" i="5" s="1"/>
  <c r="W60" i="5"/>
  <c r="W220" i="5" s="1"/>
  <c r="T60" i="5"/>
  <c r="T220" i="5" s="1"/>
  <c r="U60" i="5"/>
  <c r="U220" i="5" s="1"/>
  <c r="P60" i="5"/>
  <c r="P220" i="5" s="1"/>
  <c r="N60" i="5"/>
  <c r="N220" i="5" s="1"/>
  <c r="O60" i="5"/>
  <c r="O220" i="5" s="1"/>
  <c r="V60" i="5"/>
  <c r="V220" i="5" s="1"/>
  <c r="R60" i="5"/>
  <c r="R220" i="5" s="1"/>
  <c r="X60" i="5" l="1"/>
  <c r="X220" i="5" s="1"/>
  <c r="X48" i="5"/>
  <c r="X69" i="5" s="1"/>
  <c r="X226" i="5" s="1"/>
  <c r="Y78" i="5"/>
  <c r="Z19" i="5"/>
  <c r="Y45" i="5"/>
  <c r="Y44" i="5"/>
  <c r="Y50" i="5"/>
  <c r="Y47" i="5"/>
  <c r="X114" i="2"/>
  <c r="X51" i="5"/>
  <c r="X113" i="2" s="1"/>
  <c r="X186" i="5"/>
  <c r="Y185" i="5"/>
  <c r="B35" i="5"/>
  <c r="B34" i="5"/>
  <c r="B33" i="5"/>
  <c r="B32" i="5"/>
  <c r="B31" i="5"/>
  <c r="B30" i="5"/>
  <c r="B29" i="5"/>
  <c r="B28" i="5"/>
  <c r="B27" i="5"/>
  <c r="D23" i="5"/>
  <c r="E23" i="5" s="1"/>
  <c r="F23" i="5" s="1"/>
  <c r="G23" i="5" s="1"/>
  <c r="H23" i="5" s="1"/>
  <c r="I23" i="5" s="1"/>
  <c r="J23" i="5" s="1"/>
  <c r="K23" i="5" s="1"/>
  <c r="L23" i="5" s="1"/>
  <c r="M23" i="5" s="1"/>
  <c r="N23" i="5" s="1"/>
  <c r="O23" i="5" s="1"/>
  <c r="P23" i="5" s="1"/>
  <c r="Q23" i="5" s="1"/>
  <c r="R23" i="5" s="1"/>
  <c r="S23" i="5" s="1"/>
  <c r="T23" i="5" s="1"/>
  <c r="U23" i="5" s="1"/>
  <c r="V23" i="5" s="1"/>
  <c r="W23" i="5" s="1"/>
  <c r="X23" i="5" s="1"/>
  <c r="Y23" i="5" s="1"/>
  <c r="Z23" i="5" s="1"/>
  <c r="AA23" i="5" s="1"/>
  <c r="AB23" i="5" s="1"/>
  <c r="G8" i="5"/>
  <c r="F8" i="5"/>
  <c r="G7" i="5"/>
  <c r="F7" i="5"/>
  <c r="G6" i="5"/>
  <c r="F6" i="5"/>
  <c r="G5" i="5"/>
  <c r="F5" i="5"/>
  <c r="G4" i="5"/>
  <c r="F4" i="5"/>
  <c r="Z47" i="5" l="1"/>
  <c r="AA19" i="5"/>
  <c r="AB19" i="5" s="1"/>
  <c r="Z44" i="5"/>
  <c r="Z78" i="5"/>
  <c r="Z45" i="5"/>
  <c r="Z50" i="5"/>
  <c r="Y60" i="5"/>
  <c r="Y220" i="5" s="1"/>
  <c r="Y48" i="5"/>
  <c r="Y69" i="5" s="1"/>
  <c r="Y226" i="5" s="1"/>
  <c r="Y114" i="2"/>
  <c r="Y51" i="5"/>
  <c r="Y113" i="2" s="1"/>
  <c r="Y186" i="5"/>
  <c r="Z185" i="5"/>
  <c r="E23" i="4"/>
  <c r="F23" i="4" s="1"/>
  <c r="D17" i="4"/>
  <c r="D13" i="4"/>
  <c r="D11" i="4"/>
  <c r="AB50" i="5" l="1"/>
  <c r="AB114" i="2" s="1"/>
  <c r="AB44" i="5"/>
  <c r="AB45" i="5"/>
  <c r="AB78" i="5"/>
  <c r="AB47" i="5"/>
  <c r="Z114" i="2"/>
  <c r="Z51" i="5"/>
  <c r="Z113" i="2" s="1"/>
  <c r="AA78" i="5"/>
  <c r="AA45" i="5"/>
  <c r="AA47" i="5"/>
  <c r="AA50" i="5"/>
  <c r="AA44" i="5"/>
  <c r="Z48" i="5"/>
  <c r="Z69" i="5" s="1"/>
  <c r="Z226" i="5" s="1"/>
  <c r="Z60" i="5"/>
  <c r="Z220" i="5" s="1"/>
  <c r="AB38" i="4"/>
  <c r="AB71" i="2" s="1"/>
  <c r="AB89" i="2" s="1"/>
  <c r="Z39" i="4"/>
  <c r="X38" i="4"/>
  <c r="X71" i="2" s="1"/>
  <c r="X89" i="2" s="1"/>
  <c r="X39" i="4"/>
  <c r="Y39" i="4"/>
  <c r="Y38" i="4"/>
  <c r="Y71" i="2" s="1"/>
  <c r="Y89" i="2" s="1"/>
  <c r="AA38" i="4"/>
  <c r="AA71" i="2" s="1"/>
  <c r="AA89" i="2" s="1"/>
  <c r="Z38" i="4"/>
  <c r="Z71" i="2" s="1"/>
  <c r="Z89" i="2" s="1"/>
  <c r="X31" i="4"/>
  <c r="X53" i="2" s="1"/>
  <c r="X101" i="2" s="1"/>
  <c r="AA31" i="4"/>
  <c r="AA53" i="2" s="1"/>
  <c r="AA101" i="2" s="1"/>
  <c r="AB31" i="4"/>
  <c r="AB53" i="2" s="1"/>
  <c r="AB101" i="2" s="1"/>
  <c r="Z31" i="4"/>
  <c r="Z53" i="2" s="1"/>
  <c r="Z101" i="2" s="1"/>
  <c r="AA39" i="4"/>
  <c r="AB39" i="4"/>
  <c r="Y31" i="4"/>
  <c r="Y53" i="2" s="1"/>
  <c r="Y101" i="2" s="1"/>
  <c r="AA185" i="5"/>
  <c r="AB185" i="5" s="1"/>
  <c r="AB188" i="5" s="1"/>
  <c r="Z186" i="5"/>
  <c r="G23" i="4"/>
  <c r="H23" i="4"/>
  <c r="AB48" i="5" l="1"/>
  <c r="AB69" i="5" s="1"/>
  <c r="AB60" i="5"/>
  <c r="AB51" i="5"/>
  <c r="AB113" i="2" s="1"/>
  <c r="AA51" i="5"/>
  <c r="AA113" i="2" s="1"/>
  <c r="AA114" i="2"/>
  <c r="AA60" i="5"/>
  <c r="AA220" i="5" s="1"/>
  <c r="AA48" i="5"/>
  <c r="AA69" i="5" s="1"/>
  <c r="AA226" i="5" s="1"/>
  <c r="AA186" i="5"/>
  <c r="AB186" i="5" s="1"/>
  <c r="AB191" i="5" s="1"/>
  <c r="I23" i="4"/>
  <c r="G8" i="2"/>
  <c r="G7" i="2"/>
  <c r="G6" i="2"/>
  <c r="G5" i="2"/>
  <c r="G4" i="2"/>
  <c r="F8" i="2"/>
  <c r="F7" i="2"/>
  <c r="F6" i="2"/>
  <c r="F5" i="2"/>
  <c r="F4" i="2"/>
  <c r="J23" i="4" l="1"/>
  <c r="C37" i="3"/>
  <c r="D35" i="3"/>
  <c r="D34" i="3"/>
  <c r="D33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F32" i="3"/>
  <c r="G32" i="3" s="1"/>
  <c r="H32" i="3" s="1"/>
  <c r="I32" i="3" s="1"/>
  <c r="J32" i="3" s="1"/>
  <c r="K32" i="3" s="1"/>
  <c r="L32" i="3" s="1"/>
  <c r="M32" i="3" s="1"/>
  <c r="N32" i="3" s="1"/>
  <c r="O32" i="3" s="1"/>
  <c r="P32" i="3" s="1"/>
  <c r="Q32" i="3" s="1"/>
  <c r="R32" i="3" s="1"/>
  <c r="S32" i="3" s="1"/>
  <c r="T32" i="3" s="1"/>
  <c r="U32" i="3" s="1"/>
  <c r="V32" i="3" s="1"/>
  <c r="W32" i="3" s="1"/>
  <c r="X32" i="3" s="1"/>
  <c r="Y32" i="3" s="1"/>
  <c r="Z32" i="3" s="1"/>
  <c r="AA32" i="3" s="1"/>
  <c r="AB32" i="3" s="1"/>
  <c r="AC32" i="3" s="1"/>
  <c r="AD32" i="3" s="1"/>
  <c r="AE32" i="3" s="1"/>
  <c r="AF32" i="3" s="1"/>
  <c r="AG32" i="3" s="1"/>
  <c r="AH32" i="3" s="1"/>
  <c r="AI32" i="3" s="1"/>
  <c r="AJ32" i="3" s="1"/>
  <c r="AK32" i="3" s="1"/>
  <c r="AL32" i="3" s="1"/>
  <c r="AM32" i="3" s="1"/>
  <c r="AN32" i="3" s="1"/>
  <c r="AO32" i="3" s="1"/>
  <c r="AP32" i="3" s="1"/>
  <c r="AQ32" i="3" s="1"/>
  <c r="B28" i="2"/>
  <c r="B27" i="2"/>
  <c r="B26" i="2"/>
  <c r="B25" i="2"/>
  <c r="B24" i="2"/>
  <c r="B23" i="2"/>
  <c r="B22" i="2"/>
  <c r="B21" i="2"/>
  <c r="B20" i="2"/>
  <c r="K23" i="4" l="1"/>
  <c r="D36" i="3"/>
  <c r="D37" i="3"/>
  <c r="D16" i="2"/>
  <c r="D25" i="4" s="1"/>
  <c r="E12" i="2"/>
  <c r="L23" i="4" l="1"/>
  <c r="C19" i="1"/>
  <c r="M23" i="4" l="1"/>
  <c r="C9" i="1"/>
  <c r="E16" i="2"/>
  <c r="E25" i="4" s="1"/>
  <c r="D4" i="5" l="1"/>
  <c r="D16" i="4"/>
  <c r="N23" i="4"/>
  <c r="D4" i="2"/>
  <c r="D18" i="1"/>
  <c r="D17" i="1"/>
  <c r="D16" i="1"/>
  <c r="D14" i="1"/>
  <c r="D15" i="1"/>
  <c r="D12" i="1"/>
  <c r="D13" i="1"/>
  <c r="F16" i="2"/>
  <c r="F25" i="4" s="1"/>
  <c r="AB24" i="4" l="1"/>
  <c r="X24" i="4"/>
  <c r="Y24" i="4"/>
  <c r="Z24" i="4"/>
  <c r="AA24" i="4"/>
  <c r="D24" i="4"/>
  <c r="D26" i="4" s="1"/>
  <c r="I24" i="4"/>
  <c r="E24" i="4"/>
  <c r="E26" i="4" s="1"/>
  <c r="S24" i="4"/>
  <c r="F24" i="4"/>
  <c r="F26" i="4" s="1"/>
  <c r="H24" i="4"/>
  <c r="J24" i="4"/>
  <c r="L24" i="4"/>
  <c r="T24" i="4"/>
  <c r="O24" i="4"/>
  <c r="M24" i="4"/>
  <c r="U24" i="4"/>
  <c r="N24" i="4"/>
  <c r="P24" i="4"/>
  <c r="K24" i="4"/>
  <c r="Q24" i="4"/>
  <c r="R24" i="4"/>
  <c r="W24" i="4"/>
  <c r="G24" i="4"/>
  <c r="V24" i="4"/>
  <c r="H5" i="5"/>
  <c r="H8" i="5"/>
  <c r="H7" i="5"/>
  <c r="H4" i="5"/>
  <c r="AB22" i="5" s="1"/>
  <c r="H6" i="5"/>
  <c r="O23" i="4"/>
  <c r="H6" i="2"/>
  <c r="H7" i="2"/>
  <c r="H4" i="2"/>
  <c r="H8" i="2"/>
  <c r="H5" i="2"/>
  <c r="G16" i="2"/>
  <c r="G25" i="4" s="1"/>
  <c r="AB28" i="5" l="1"/>
  <c r="AB32" i="5"/>
  <c r="AB33" i="5"/>
  <c r="AB24" i="5"/>
  <c r="AB34" i="5"/>
  <c r="AB29" i="5"/>
  <c r="AB30" i="5"/>
  <c r="AB31" i="5"/>
  <c r="AA15" i="2"/>
  <c r="Z15" i="2"/>
  <c r="AB15" i="2"/>
  <c r="X15" i="2"/>
  <c r="Y15" i="2"/>
  <c r="AA22" i="5"/>
  <c r="Y22" i="5"/>
  <c r="Z22" i="5"/>
  <c r="X22" i="5"/>
  <c r="G26" i="4"/>
  <c r="F22" i="5"/>
  <c r="P22" i="5"/>
  <c r="M22" i="5"/>
  <c r="N22" i="5"/>
  <c r="K22" i="5"/>
  <c r="W22" i="5"/>
  <c r="D22" i="5"/>
  <c r="T22" i="5"/>
  <c r="Q22" i="5"/>
  <c r="R22" i="5"/>
  <c r="O22" i="5"/>
  <c r="H22" i="5"/>
  <c r="E22" i="5"/>
  <c r="U22" i="5"/>
  <c r="V22" i="5"/>
  <c r="S22" i="5"/>
  <c r="L22" i="5"/>
  <c r="I22" i="5"/>
  <c r="J22" i="5"/>
  <c r="G22" i="5"/>
  <c r="P23" i="4"/>
  <c r="W15" i="2"/>
  <c r="F15" i="2"/>
  <c r="J15" i="2"/>
  <c r="N15" i="2"/>
  <c r="V15" i="2"/>
  <c r="K15" i="2"/>
  <c r="S15" i="2"/>
  <c r="D15" i="2"/>
  <c r="H15" i="2"/>
  <c r="L15" i="2"/>
  <c r="P15" i="2"/>
  <c r="T15" i="2"/>
  <c r="E15" i="2"/>
  <c r="I15" i="2"/>
  <c r="M15" i="2"/>
  <c r="Q15" i="2"/>
  <c r="U15" i="2"/>
  <c r="R15" i="2"/>
  <c r="G15" i="2"/>
  <c r="O15" i="2"/>
  <c r="H16" i="2"/>
  <c r="H25" i="4" s="1"/>
  <c r="H26" i="4" s="1"/>
  <c r="AB27" i="5" l="1"/>
  <c r="Y23" i="2"/>
  <c r="Y26" i="2"/>
  <c r="Y27" i="2"/>
  <c r="Y21" i="2"/>
  <c r="Y24" i="2"/>
  <c r="Y25" i="2"/>
  <c r="Y22" i="2"/>
  <c r="X26" i="2"/>
  <c r="X21" i="2"/>
  <c r="X22" i="2"/>
  <c r="X24" i="2"/>
  <c r="X27" i="2"/>
  <c r="X23" i="2"/>
  <c r="X25" i="2"/>
  <c r="AA21" i="2"/>
  <c r="AA24" i="2"/>
  <c r="AA26" i="2"/>
  <c r="AA27" i="2"/>
  <c r="AA25" i="2"/>
  <c r="AA23" i="2"/>
  <c r="AA22" i="2"/>
  <c r="AB27" i="2"/>
  <c r="AB22" i="2"/>
  <c r="AB25" i="2"/>
  <c r="AB26" i="2"/>
  <c r="AB24" i="2"/>
  <c r="AB23" i="2"/>
  <c r="AB21" i="2"/>
  <c r="Z26" i="2"/>
  <c r="Z21" i="2"/>
  <c r="Z22" i="2"/>
  <c r="Z27" i="2"/>
  <c r="Z23" i="2"/>
  <c r="Z25" i="2"/>
  <c r="Z24" i="2"/>
  <c r="X30" i="5"/>
  <c r="X34" i="5"/>
  <c r="X29" i="5"/>
  <c r="X31" i="5"/>
  <c r="X24" i="5"/>
  <c r="X27" i="5" s="1"/>
  <c r="X28" i="5"/>
  <c r="X33" i="5"/>
  <c r="X32" i="5"/>
  <c r="Z29" i="5"/>
  <c r="Z28" i="5"/>
  <c r="Z33" i="5"/>
  <c r="Z34" i="5"/>
  <c r="Z24" i="5"/>
  <c r="Z27" i="5" s="1"/>
  <c r="Z31" i="5"/>
  <c r="Z32" i="5"/>
  <c r="Z30" i="5"/>
  <c r="Y30" i="5"/>
  <c r="Y34" i="5"/>
  <c r="Y29" i="5"/>
  <c r="Y33" i="5"/>
  <c r="Y28" i="5"/>
  <c r="Y32" i="5"/>
  <c r="Y24" i="5"/>
  <c r="Y27" i="5" s="1"/>
  <c r="Y31" i="5"/>
  <c r="AA28" i="5"/>
  <c r="AA29" i="5"/>
  <c r="AA24" i="5"/>
  <c r="AA27" i="5" s="1"/>
  <c r="AA32" i="5"/>
  <c r="AA31" i="5"/>
  <c r="AA30" i="5"/>
  <c r="AA33" i="5"/>
  <c r="AA34" i="5"/>
  <c r="D45" i="5"/>
  <c r="D69" i="5" s="1"/>
  <c r="D226" i="5" s="1"/>
  <c r="D33" i="5"/>
  <c r="D31" i="5"/>
  <c r="D32" i="5"/>
  <c r="D29" i="5"/>
  <c r="D30" i="5"/>
  <c r="D34" i="5"/>
  <c r="D28" i="5"/>
  <c r="W30" i="5"/>
  <c r="W28" i="5"/>
  <c r="W34" i="5"/>
  <c r="W33" i="5"/>
  <c r="W29" i="5"/>
  <c r="W31" i="5"/>
  <c r="W32" i="5"/>
  <c r="Q30" i="5"/>
  <c r="Q29" i="5"/>
  <c r="Q34" i="5"/>
  <c r="Q28" i="5"/>
  <c r="Q32" i="5"/>
  <c r="Q33" i="5"/>
  <c r="Q31" i="5"/>
  <c r="L45" i="5"/>
  <c r="L60" i="5" s="1"/>
  <c r="L220" i="5" s="1"/>
  <c r="L30" i="5"/>
  <c r="L28" i="5"/>
  <c r="L29" i="5"/>
  <c r="L33" i="5"/>
  <c r="L34" i="5"/>
  <c r="L32" i="5"/>
  <c r="L31" i="5"/>
  <c r="K45" i="5"/>
  <c r="K60" i="5" s="1"/>
  <c r="K220" i="5" s="1"/>
  <c r="K30" i="5"/>
  <c r="K29" i="5"/>
  <c r="K34" i="5"/>
  <c r="K28" i="5"/>
  <c r="K31" i="5"/>
  <c r="K32" i="5"/>
  <c r="K33" i="5"/>
  <c r="G45" i="5"/>
  <c r="G60" i="5" s="1"/>
  <c r="G220" i="5" s="1"/>
  <c r="G34" i="5"/>
  <c r="G28" i="5"/>
  <c r="G31" i="5"/>
  <c r="G29" i="5"/>
  <c r="G32" i="5"/>
  <c r="G30" i="5"/>
  <c r="G33" i="5"/>
  <c r="N33" i="5"/>
  <c r="N31" i="5"/>
  <c r="N34" i="5"/>
  <c r="N32" i="5"/>
  <c r="N30" i="5"/>
  <c r="N29" i="5"/>
  <c r="N28" i="5"/>
  <c r="J45" i="5"/>
  <c r="J60" i="5" s="1"/>
  <c r="J220" i="5" s="1"/>
  <c r="J29" i="5"/>
  <c r="J34" i="5"/>
  <c r="J30" i="5"/>
  <c r="J28" i="5"/>
  <c r="J31" i="5"/>
  <c r="J33" i="5"/>
  <c r="J32" i="5"/>
  <c r="S34" i="5"/>
  <c r="S32" i="5"/>
  <c r="S28" i="5"/>
  <c r="S33" i="5"/>
  <c r="S29" i="5"/>
  <c r="S30" i="5"/>
  <c r="S31" i="5"/>
  <c r="U32" i="5"/>
  <c r="U33" i="5"/>
  <c r="U31" i="5"/>
  <c r="U34" i="5"/>
  <c r="U29" i="5"/>
  <c r="U30" i="5"/>
  <c r="U28" i="5"/>
  <c r="P31" i="5"/>
  <c r="P32" i="5"/>
  <c r="P30" i="5"/>
  <c r="P29" i="5"/>
  <c r="P34" i="5"/>
  <c r="P33" i="5"/>
  <c r="P28" i="5"/>
  <c r="O31" i="5"/>
  <c r="O30" i="5"/>
  <c r="O33" i="5"/>
  <c r="O28" i="5"/>
  <c r="O29" i="5"/>
  <c r="O34" i="5"/>
  <c r="O32" i="5"/>
  <c r="T32" i="5"/>
  <c r="T29" i="5"/>
  <c r="T31" i="5"/>
  <c r="T34" i="5"/>
  <c r="T30" i="5"/>
  <c r="T33" i="5"/>
  <c r="T28" i="5"/>
  <c r="M45" i="5"/>
  <c r="M69" i="5" s="1"/>
  <c r="M226" i="5" s="1"/>
  <c r="M28" i="5"/>
  <c r="M32" i="5"/>
  <c r="M30" i="5"/>
  <c r="M33" i="5"/>
  <c r="M29" i="5"/>
  <c r="M31" i="5"/>
  <c r="M34" i="5"/>
  <c r="E45" i="5"/>
  <c r="E60" i="5" s="1"/>
  <c r="E220" i="5" s="1"/>
  <c r="E29" i="5"/>
  <c r="E28" i="5"/>
  <c r="E34" i="5"/>
  <c r="E31" i="5"/>
  <c r="E33" i="5"/>
  <c r="E32" i="5"/>
  <c r="E30" i="5"/>
  <c r="F45" i="5"/>
  <c r="F60" i="5" s="1"/>
  <c r="F220" i="5" s="1"/>
  <c r="F29" i="5"/>
  <c r="F30" i="5"/>
  <c r="F34" i="5"/>
  <c r="F32" i="5"/>
  <c r="F33" i="5"/>
  <c r="F31" i="5"/>
  <c r="F28" i="5"/>
  <c r="R29" i="5"/>
  <c r="R34" i="5"/>
  <c r="R33" i="5"/>
  <c r="R28" i="5"/>
  <c r="R32" i="5"/>
  <c r="R30" i="5"/>
  <c r="R31" i="5"/>
  <c r="I45" i="5"/>
  <c r="I69" i="5" s="1"/>
  <c r="I226" i="5" s="1"/>
  <c r="I32" i="5"/>
  <c r="I34" i="5"/>
  <c r="I30" i="5"/>
  <c r="I31" i="5"/>
  <c r="I29" i="5"/>
  <c r="I33" i="5"/>
  <c r="I28" i="5"/>
  <c r="V32" i="5"/>
  <c r="V30" i="5"/>
  <c r="V34" i="5"/>
  <c r="V31" i="5"/>
  <c r="V28" i="5"/>
  <c r="V29" i="5"/>
  <c r="V33" i="5"/>
  <c r="H45" i="5"/>
  <c r="H60" i="5" s="1"/>
  <c r="H220" i="5" s="1"/>
  <c r="H33" i="5"/>
  <c r="H32" i="5"/>
  <c r="H30" i="5"/>
  <c r="H28" i="5"/>
  <c r="H34" i="5"/>
  <c r="H31" i="5"/>
  <c r="H29" i="5"/>
  <c r="D27" i="2"/>
  <c r="D24" i="2"/>
  <c r="D23" i="2"/>
  <c r="D22" i="2"/>
  <c r="D26" i="2"/>
  <c r="D25" i="2"/>
  <c r="E27" i="2"/>
  <c r="E24" i="2"/>
  <c r="E25" i="2"/>
  <c r="E22" i="2"/>
  <c r="E26" i="2"/>
  <c r="E23" i="2"/>
  <c r="F17" i="2"/>
  <c r="D21" i="2"/>
  <c r="G17" i="2"/>
  <c r="E21" i="2"/>
  <c r="G24" i="5"/>
  <c r="S24" i="5"/>
  <c r="H24" i="5"/>
  <c r="T24" i="5"/>
  <c r="N24" i="5"/>
  <c r="J24" i="5"/>
  <c r="V24" i="5"/>
  <c r="O24" i="5"/>
  <c r="D24" i="5"/>
  <c r="M24" i="5"/>
  <c r="I24" i="5"/>
  <c r="U24" i="5"/>
  <c r="R24" i="5"/>
  <c r="W24" i="5"/>
  <c r="P24" i="5"/>
  <c r="L24" i="5"/>
  <c r="E24" i="5"/>
  <c r="Q24" i="5"/>
  <c r="K24" i="5"/>
  <c r="F24" i="5"/>
  <c r="Q23" i="4"/>
  <c r="E17" i="2"/>
  <c r="D17" i="2"/>
  <c r="I16" i="2"/>
  <c r="I25" i="4" s="1"/>
  <c r="I26" i="4" s="1"/>
  <c r="H17" i="2"/>
  <c r="AB35" i="5" l="1"/>
  <c r="AB36" i="5" s="1"/>
  <c r="AB38" i="5" s="1"/>
  <c r="AB116" i="2" s="1"/>
  <c r="Y35" i="5"/>
  <c r="Y36" i="5" s="1"/>
  <c r="Y38" i="5" s="1"/>
  <c r="Y116" i="2" s="1"/>
  <c r="Z35" i="5"/>
  <c r="Z36" i="5" s="1"/>
  <c r="Z38" i="5" s="1"/>
  <c r="Z116" i="2" s="1"/>
  <c r="X35" i="5"/>
  <c r="X36" i="5" s="1"/>
  <c r="X38" i="5" s="1"/>
  <c r="X116" i="2" s="1"/>
  <c r="AA35" i="5"/>
  <c r="AA36" i="5" s="1"/>
  <c r="AA38" i="5" s="1"/>
  <c r="AA116" i="2" s="1"/>
  <c r="G69" i="5"/>
  <c r="G226" i="5" s="1"/>
  <c r="M60" i="5"/>
  <c r="M220" i="5" s="1"/>
  <c r="D60" i="5"/>
  <c r="D220" i="5" s="1"/>
  <c r="K69" i="5"/>
  <c r="K226" i="5" s="1"/>
  <c r="F69" i="5"/>
  <c r="F226" i="5" s="1"/>
  <c r="J69" i="5"/>
  <c r="J226" i="5" s="1"/>
  <c r="L69" i="5"/>
  <c r="L226" i="5" s="1"/>
  <c r="I60" i="5"/>
  <c r="I220" i="5" s="1"/>
  <c r="J27" i="5"/>
  <c r="Q27" i="5"/>
  <c r="E27" i="5"/>
  <c r="N27" i="5"/>
  <c r="T27" i="5"/>
  <c r="W27" i="5"/>
  <c r="S27" i="5"/>
  <c r="E69" i="5"/>
  <c r="E226" i="5" s="1"/>
  <c r="R27" i="5"/>
  <c r="G27" i="5"/>
  <c r="U27" i="5"/>
  <c r="H69" i="5"/>
  <c r="H226" i="5" s="1"/>
  <c r="H27" i="5"/>
  <c r="I27" i="5"/>
  <c r="M27" i="5"/>
  <c r="L27" i="5"/>
  <c r="P27" i="5"/>
  <c r="D27" i="5"/>
  <c r="F27" i="5"/>
  <c r="O27" i="5"/>
  <c r="K27" i="5"/>
  <c r="V27" i="5"/>
  <c r="G20" i="2"/>
  <c r="H20" i="2"/>
  <c r="F20" i="2"/>
  <c r="E20" i="2"/>
  <c r="E28" i="2" s="1"/>
  <c r="E29" i="2" s="1"/>
  <c r="E31" i="2" s="1"/>
  <c r="D20" i="2"/>
  <c r="D28" i="2" s="1"/>
  <c r="D29" i="2" s="1"/>
  <c r="R23" i="4"/>
  <c r="J16" i="2"/>
  <c r="J25" i="4" s="1"/>
  <c r="J26" i="4" s="1"/>
  <c r="I17" i="2"/>
  <c r="AB117" i="2" l="1"/>
  <c r="AB118" i="2"/>
  <c r="AB67" i="5"/>
  <c r="AB42" i="5"/>
  <c r="AB58" i="5"/>
  <c r="AA117" i="2"/>
  <c r="AA118" i="2"/>
  <c r="Z117" i="2"/>
  <c r="Z118" i="2"/>
  <c r="Y117" i="2"/>
  <c r="Y118" i="2"/>
  <c r="X118" i="2"/>
  <c r="X117" i="2"/>
  <c r="Z67" i="5"/>
  <c r="Z93" i="5"/>
  <c r="Z58" i="5"/>
  <c r="Z101" i="5" s="1"/>
  <c r="Z148" i="5" s="1"/>
  <c r="Y67" i="5"/>
  <c r="Y58" i="5"/>
  <c r="Y101" i="5" s="1"/>
  <c r="Y148" i="5" s="1"/>
  <c r="Y93" i="5"/>
  <c r="X58" i="5"/>
  <c r="X101" i="5" s="1"/>
  <c r="X148" i="5" s="1"/>
  <c r="X93" i="5"/>
  <c r="X67" i="5"/>
  <c r="AA67" i="5"/>
  <c r="AA93" i="5"/>
  <c r="AA58" i="5"/>
  <c r="AA101" i="5" s="1"/>
  <c r="AA148" i="5" s="1"/>
  <c r="D27" i="4"/>
  <c r="D31" i="2"/>
  <c r="I20" i="2"/>
  <c r="T35" i="5"/>
  <c r="T36" i="5" s="1"/>
  <c r="M35" i="5"/>
  <c r="M36" i="5" s="1"/>
  <c r="K35" i="5"/>
  <c r="K36" i="5" s="1"/>
  <c r="G35" i="5"/>
  <c r="G36" i="5" s="1"/>
  <c r="V35" i="5"/>
  <c r="V36" i="5" s="1"/>
  <c r="I35" i="5"/>
  <c r="I36" i="5" s="1"/>
  <c r="R35" i="5"/>
  <c r="R36" i="5" s="1"/>
  <c r="L35" i="5"/>
  <c r="L36" i="5" s="1"/>
  <c r="Q35" i="5"/>
  <c r="Q36" i="5" s="1"/>
  <c r="J35" i="5"/>
  <c r="J36" i="5" s="1"/>
  <c r="H35" i="5"/>
  <c r="H36" i="5" s="1"/>
  <c r="D35" i="5"/>
  <c r="D36" i="5" s="1"/>
  <c r="W35" i="5"/>
  <c r="W36" i="5" s="1"/>
  <c r="F35" i="5"/>
  <c r="F36" i="5" s="1"/>
  <c r="E52" i="2"/>
  <c r="E27" i="4"/>
  <c r="S35" i="5"/>
  <c r="S36" i="5" s="1"/>
  <c r="O35" i="5"/>
  <c r="O36" i="5" s="1"/>
  <c r="U35" i="5"/>
  <c r="U36" i="5" s="1"/>
  <c r="P35" i="5"/>
  <c r="P36" i="5" s="1"/>
  <c r="E35" i="5"/>
  <c r="E36" i="5" s="1"/>
  <c r="N35" i="5"/>
  <c r="N36" i="5" s="1"/>
  <c r="S23" i="4"/>
  <c r="E64" i="2"/>
  <c r="J17" i="2"/>
  <c r="K16" i="2"/>
  <c r="K25" i="4" s="1"/>
  <c r="K26" i="4" s="1"/>
  <c r="AB54" i="5" l="1"/>
  <c r="AB68" i="5" s="1"/>
  <c r="AB70" i="5" s="1"/>
  <c r="AB53" i="5"/>
  <c r="AB59" i="5" s="1"/>
  <c r="AB61" i="5" s="1"/>
  <c r="AB76" i="5"/>
  <c r="AB82" i="5"/>
  <c r="Y125" i="5"/>
  <c r="Y166" i="5" s="1"/>
  <c r="Y82" i="5"/>
  <c r="Y76" i="5"/>
  <c r="X125" i="5"/>
  <c r="X166" i="5" s="1"/>
  <c r="X82" i="5"/>
  <c r="X76" i="5"/>
  <c r="Z82" i="5"/>
  <c r="Z76" i="5"/>
  <c r="Z125" i="5"/>
  <c r="Z166" i="5" s="1"/>
  <c r="AA125" i="5"/>
  <c r="AA166" i="5" s="1"/>
  <c r="AA82" i="5"/>
  <c r="AA76" i="5"/>
  <c r="L38" i="5"/>
  <c r="L116" i="2" s="1"/>
  <c r="Q38" i="5"/>
  <c r="Q116" i="2" s="1"/>
  <c r="S38" i="5"/>
  <c r="S116" i="2" s="1"/>
  <c r="U38" i="5"/>
  <c r="U116" i="2" s="1"/>
  <c r="O38" i="5"/>
  <c r="O116" i="2" s="1"/>
  <c r="G38" i="5"/>
  <c r="G116" i="2" s="1"/>
  <c r="T38" i="5"/>
  <c r="T116" i="2" s="1"/>
  <c r="P38" i="5"/>
  <c r="P116" i="2" s="1"/>
  <c r="R38" i="5"/>
  <c r="R116" i="2" s="1"/>
  <c r="V38" i="5"/>
  <c r="V116" i="2" s="1"/>
  <c r="M38" i="5"/>
  <c r="M116" i="2" s="1"/>
  <c r="H38" i="5"/>
  <c r="H116" i="2" s="1"/>
  <c r="E38" i="5"/>
  <c r="E116" i="2" s="1"/>
  <c r="I38" i="5"/>
  <c r="I116" i="2" s="1"/>
  <c r="K38" i="5"/>
  <c r="K116" i="2" s="1"/>
  <c r="F38" i="5"/>
  <c r="F116" i="2" s="1"/>
  <c r="W38" i="5"/>
  <c r="W116" i="2" s="1"/>
  <c r="D38" i="5"/>
  <c r="D116" i="2" s="1"/>
  <c r="N38" i="5"/>
  <c r="N116" i="2" s="1"/>
  <c r="J38" i="5"/>
  <c r="J116" i="2" s="1"/>
  <c r="E99" i="2"/>
  <c r="E28" i="4"/>
  <c r="E30" i="4" s="1"/>
  <c r="D52" i="2"/>
  <c r="J20" i="2"/>
  <c r="D28" i="4"/>
  <c r="T23" i="4"/>
  <c r="E69" i="2"/>
  <c r="E87" i="2" s="1"/>
  <c r="D64" i="2"/>
  <c r="L16" i="2"/>
  <c r="L25" i="4" s="1"/>
  <c r="L26" i="4" s="1"/>
  <c r="K17" i="2"/>
  <c r="E58" i="5" l="1"/>
  <c r="E101" i="5" s="1"/>
  <c r="E148" i="5" s="1"/>
  <c r="I67" i="5"/>
  <c r="I125" i="5" s="1"/>
  <c r="I166" i="5" s="1"/>
  <c r="W117" i="2"/>
  <c r="W118" i="2"/>
  <c r="R118" i="2"/>
  <c r="R117" i="2"/>
  <c r="N117" i="2"/>
  <c r="N118" i="2"/>
  <c r="G117" i="2"/>
  <c r="G118" i="2"/>
  <c r="O118" i="2"/>
  <c r="O117" i="2"/>
  <c r="F118" i="2"/>
  <c r="F117" i="2"/>
  <c r="S117" i="2"/>
  <c r="S118" i="2"/>
  <c r="L118" i="2"/>
  <c r="L117" i="2"/>
  <c r="V118" i="2"/>
  <c r="V117" i="2"/>
  <c r="J117" i="2"/>
  <c r="J118" i="2"/>
  <c r="T118" i="2"/>
  <c r="T117" i="2"/>
  <c r="D118" i="2"/>
  <c r="D117" i="2"/>
  <c r="I58" i="5"/>
  <c r="I101" i="5" s="1"/>
  <c r="I148" i="5" s="1"/>
  <c r="Q118" i="2"/>
  <c r="Q117" i="2"/>
  <c r="H117" i="2"/>
  <c r="H118" i="2"/>
  <c r="P118" i="2"/>
  <c r="P117" i="2"/>
  <c r="U118" i="2"/>
  <c r="U117" i="2"/>
  <c r="K118" i="2"/>
  <c r="K117" i="2"/>
  <c r="I118" i="2"/>
  <c r="I117" i="2"/>
  <c r="E118" i="2"/>
  <c r="E117" i="2"/>
  <c r="M117" i="2"/>
  <c r="M118" i="2"/>
  <c r="K58" i="5"/>
  <c r="K101" i="5" s="1"/>
  <c r="K148" i="5" s="1"/>
  <c r="L67" i="5"/>
  <c r="L125" i="5" s="1"/>
  <c r="L166" i="5" s="1"/>
  <c r="L58" i="5"/>
  <c r="L101" i="5" s="1"/>
  <c r="L148" i="5" s="1"/>
  <c r="E67" i="5"/>
  <c r="E125" i="5" s="1"/>
  <c r="E166" i="5" s="1"/>
  <c r="D30" i="4"/>
  <c r="D31" i="4" s="1"/>
  <c r="P93" i="5"/>
  <c r="N93" i="5"/>
  <c r="O58" i="5"/>
  <c r="O101" i="5" s="1"/>
  <c r="O148" i="5" s="1"/>
  <c r="U67" i="5"/>
  <c r="U125" i="5" s="1"/>
  <c r="U166" i="5" s="1"/>
  <c r="I93" i="5"/>
  <c r="J93" i="5"/>
  <c r="T93" i="5"/>
  <c r="S58" i="5"/>
  <c r="S101" i="5" s="1"/>
  <c r="S148" i="5" s="1"/>
  <c r="L93" i="5"/>
  <c r="D67" i="5"/>
  <c r="D125" i="5" s="1"/>
  <c r="D166" i="5" s="1"/>
  <c r="G58" i="5"/>
  <c r="G101" i="5" s="1"/>
  <c r="G148" i="5" s="1"/>
  <c r="W58" i="5"/>
  <c r="W101" i="5" s="1"/>
  <c r="W148" i="5" s="1"/>
  <c r="E93" i="5"/>
  <c r="H93" i="5"/>
  <c r="V93" i="5"/>
  <c r="F93" i="5"/>
  <c r="K67" i="5"/>
  <c r="K125" i="5" s="1"/>
  <c r="K166" i="5" s="1"/>
  <c r="Q93" i="5"/>
  <c r="M93" i="5"/>
  <c r="R93" i="5"/>
  <c r="Q67" i="5"/>
  <c r="Q125" i="5" s="1"/>
  <c r="Q166" i="5" s="1"/>
  <c r="Q58" i="5"/>
  <c r="Q101" i="5" s="1"/>
  <c r="Q148" i="5" s="1"/>
  <c r="J58" i="5"/>
  <c r="J101" i="5" s="1"/>
  <c r="J148" i="5" s="1"/>
  <c r="R67" i="5"/>
  <c r="R125" i="5" s="1"/>
  <c r="R166" i="5" s="1"/>
  <c r="J67" i="5"/>
  <c r="J125" i="5" s="1"/>
  <c r="J166" i="5" s="1"/>
  <c r="T67" i="5"/>
  <c r="T125" i="5" s="1"/>
  <c r="T166" i="5" s="1"/>
  <c r="T58" i="5"/>
  <c r="T101" i="5" s="1"/>
  <c r="T148" i="5" s="1"/>
  <c r="V67" i="5"/>
  <c r="V125" i="5" s="1"/>
  <c r="V166" i="5" s="1"/>
  <c r="V58" i="5"/>
  <c r="V101" i="5" s="1"/>
  <c r="V148" i="5" s="1"/>
  <c r="R58" i="5"/>
  <c r="R101" i="5" s="1"/>
  <c r="R148" i="5" s="1"/>
  <c r="P67" i="5"/>
  <c r="P125" i="5" s="1"/>
  <c r="P166" i="5" s="1"/>
  <c r="P58" i="5"/>
  <c r="P101" i="5" s="1"/>
  <c r="P148" i="5" s="1"/>
  <c r="N67" i="5"/>
  <c r="N125" i="5" s="1"/>
  <c r="N166" i="5" s="1"/>
  <c r="N58" i="5"/>
  <c r="N101" i="5" s="1"/>
  <c r="N148" i="5" s="1"/>
  <c r="M67" i="5"/>
  <c r="M125" i="5" s="1"/>
  <c r="M166" i="5" s="1"/>
  <c r="D58" i="5"/>
  <c r="D101" i="5" s="1"/>
  <c r="D148" i="5" s="1"/>
  <c r="G93" i="5"/>
  <c r="D93" i="5"/>
  <c r="M58" i="5"/>
  <c r="M101" i="5" s="1"/>
  <c r="M148" i="5" s="1"/>
  <c r="H67" i="5"/>
  <c r="H125" i="5" s="1"/>
  <c r="H166" i="5" s="1"/>
  <c r="O93" i="5"/>
  <c r="H58" i="5"/>
  <c r="H101" i="5" s="1"/>
  <c r="H148" i="5" s="1"/>
  <c r="U58" i="5"/>
  <c r="U101" i="5" s="1"/>
  <c r="U148" i="5" s="1"/>
  <c r="S67" i="5"/>
  <c r="S125" i="5" s="1"/>
  <c r="S166" i="5" s="1"/>
  <c r="F67" i="5"/>
  <c r="F125" i="5" s="1"/>
  <c r="F166" i="5" s="1"/>
  <c r="G67" i="5"/>
  <c r="G125" i="5" s="1"/>
  <c r="G166" i="5" s="1"/>
  <c r="K93" i="5"/>
  <c r="S93" i="5"/>
  <c r="W67" i="5"/>
  <c r="W125" i="5" s="1"/>
  <c r="W166" i="5" s="1"/>
  <c r="U93" i="5"/>
  <c r="F58" i="5"/>
  <c r="F101" i="5" s="1"/>
  <c r="F148" i="5" s="1"/>
  <c r="O67" i="5"/>
  <c r="O125" i="5" s="1"/>
  <c r="O166" i="5" s="1"/>
  <c r="W93" i="5"/>
  <c r="E31" i="4"/>
  <c r="E53" i="2" s="1"/>
  <c r="D99" i="2"/>
  <c r="K20" i="2"/>
  <c r="U23" i="4"/>
  <c r="D69" i="2"/>
  <c r="D87" i="2" s="1"/>
  <c r="L17" i="2"/>
  <c r="M16" i="2"/>
  <c r="M25" i="4" s="1"/>
  <c r="M26" i="4" s="1"/>
  <c r="K76" i="5" l="1"/>
  <c r="K78" i="5" s="1"/>
  <c r="K82" i="5" s="1"/>
  <c r="D53" i="2"/>
  <c r="I76" i="5"/>
  <c r="I78" i="5" s="1"/>
  <c r="I82" i="5" s="1"/>
  <c r="D76" i="5"/>
  <c r="D78" i="5" s="1"/>
  <c r="L76" i="5"/>
  <c r="L78" i="5" s="1"/>
  <c r="L82" i="5" s="1"/>
  <c r="E76" i="5"/>
  <c r="E78" i="5" s="1"/>
  <c r="E82" i="5" s="1"/>
  <c r="Q76" i="5"/>
  <c r="U82" i="5"/>
  <c r="U76" i="5"/>
  <c r="Q82" i="5"/>
  <c r="J76" i="5"/>
  <c r="J78" i="5" s="1"/>
  <c r="J82" i="5" s="1"/>
  <c r="R82" i="5"/>
  <c r="T76" i="5"/>
  <c r="R76" i="5"/>
  <c r="O76" i="5"/>
  <c r="M76" i="5"/>
  <c r="M78" i="5" s="1"/>
  <c r="M82" i="5" s="1"/>
  <c r="V82" i="5"/>
  <c r="V76" i="5"/>
  <c r="P82" i="5"/>
  <c r="H76" i="5"/>
  <c r="H78" i="5" s="1"/>
  <c r="H82" i="5" s="1"/>
  <c r="N82" i="5"/>
  <c r="P76" i="5"/>
  <c r="N76" i="5"/>
  <c r="O82" i="5"/>
  <c r="T82" i="5"/>
  <c r="W82" i="5"/>
  <c r="W76" i="5"/>
  <c r="G76" i="5"/>
  <c r="G78" i="5" s="1"/>
  <c r="G82" i="5" s="1"/>
  <c r="F76" i="5"/>
  <c r="F78" i="5" s="1"/>
  <c r="F82" i="5" s="1"/>
  <c r="S82" i="5"/>
  <c r="S76" i="5"/>
  <c r="D101" i="2"/>
  <c r="D54" i="2"/>
  <c r="D58" i="2" s="1"/>
  <c r="E101" i="2"/>
  <c r="E54" i="2"/>
  <c r="E58" i="2" s="1"/>
  <c r="L20" i="2"/>
  <c r="V23" i="4"/>
  <c r="N16" i="2"/>
  <c r="N25" i="4" s="1"/>
  <c r="N26" i="4" s="1"/>
  <c r="M17" i="2"/>
  <c r="C80" i="5" l="1"/>
  <c r="AB226" i="5"/>
  <c r="AB220" i="5"/>
  <c r="D82" i="5"/>
  <c r="V38" i="4"/>
  <c r="V71" i="2" s="1"/>
  <c r="V39" i="4"/>
  <c r="V31" i="4"/>
  <c r="V53" i="2" s="1"/>
  <c r="V101" i="2" s="1"/>
  <c r="M20" i="2"/>
  <c r="W23" i="4"/>
  <c r="O16" i="2"/>
  <c r="O25" i="4" s="1"/>
  <c r="O26" i="4" s="1"/>
  <c r="N17" i="2"/>
  <c r="AB93" i="5" l="1"/>
  <c r="AB101" i="5"/>
  <c r="AB148" i="5" s="1"/>
  <c r="W39" i="4"/>
  <c r="W31" i="4"/>
  <c r="N20" i="2"/>
  <c r="W38" i="4"/>
  <c r="W71" i="2" s="1"/>
  <c r="W53" i="2"/>
  <c r="W101" i="2" s="1"/>
  <c r="O17" i="2"/>
  <c r="P16" i="2"/>
  <c r="P25" i="4" s="1"/>
  <c r="P26" i="4" s="1"/>
  <c r="AB125" i="5" l="1"/>
  <c r="AB166" i="5" s="1"/>
  <c r="O20" i="2"/>
  <c r="Q16" i="2"/>
  <c r="Q25" i="4" s="1"/>
  <c r="Q26" i="4" s="1"/>
  <c r="P17" i="2"/>
  <c r="P20" i="2" l="1"/>
  <c r="Q17" i="2"/>
  <c r="R16" i="2"/>
  <c r="R25" i="4" s="1"/>
  <c r="R26" i="4" s="1"/>
  <c r="Q20" i="2" l="1"/>
  <c r="R17" i="2"/>
  <c r="S16" i="2"/>
  <c r="S25" i="4" s="1"/>
  <c r="S26" i="4" s="1"/>
  <c r="R20" i="2" l="1"/>
  <c r="T16" i="2"/>
  <c r="T25" i="4" s="1"/>
  <c r="T26" i="4" s="1"/>
  <c r="S17" i="2"/>
  <c r="S20" i="2" l="1"/>
  <c r="T17" i="2"/>
  <c r="U16" i="2"/>
  <c r="U25" i="4" s="1"/>
  <c r="U26" i="4" s="1"/>
  <c r="F12" i="2"/>
  <c r="G12" i="2" l="1"/>
  <c r="F27" i="2"/>
  <c r="F24" i="2"/>
  <c r="F21" i="2"/>
  <c r="F25" i="2"/>
  <c r="F22" i="2"/>
  <c r="F23" i="2"/>
  <c r="F26" i="2"/>
  <c r="T20" i="2"/>
  <c r="H12" i="2"/>
  <c r="U17" i="2"/>
  <c r="V16" i="2"/>
  <c r="V25" i="4" s="1"/>
  <c r="V26" i="4" s="1"/>
  <c r="H27" i="2" l="1"/>
  <c r="H21" i="2"/>
  <c r="H25" i="2"/>
  <c r="H23" i="2"/>
  <c r="H22" i="2"/>
  <c r="H26" i="2"/>
  <c r="H24" i="2"/>
  <c r="U20" i="2"/>
  <c r="G25" i="2"/>
  <c r="G22" i="2"/>
  <c r="G24" i="2"/>
  <c r="G26" i="2"/>
  <c r="G23" i="2"/>
  <c r="G27" i="2"/>
  <c r="G21" i="2"/>
  <c r="I12" i="2"/>
  <c r="F28" i="2"/>
  <c r="F29" i="2" s="1"/>
  <c r="W16" i="2"/>
  <c r="V17" i="2"/>
  <c r="W25" i="4" l="1"/>
  <c r="W26" i="4" s="1"/>
  <c r="X16" i="2"/>
  <c r="G28" i="2"/>
  <c r="G29" i="2" s="1"/>
  <c r="G27" i="4" s="1"/>
  <c r="F27" i="4"/>
  <c r="F28" i="4" s="1"/>
  <c r="F30" i="4" s="1"/>
  <c r="F31" i="2"/>
  <c r="V20" i="2"/>
  <c r="J12" i="2"/>
  <c r="K12" i="2" s="1"/>
  <c r="I25" i="2"/>
  <c r="I22" i="2"/>
  <c r="I23" i="2"/>
  <c r="I24" i="2"/>
  <c r="I27" i="2"/>
  <c r="I21" i="2"/>
  <c r="I26" i="2"/>
  <c r="H28" i="2"/>
  <c r="H29" i="2" s="1"/>
  <c r="H31" i="2" s="1"/>
  <c r="W17" i="2"/>
  <c r="Y16" i="2" l="1"/>
  <c r="X25" i="4"/>
  <c r="X26" i="4" s="1"/>
  <c r="X17" i="2"/>
  <c r="X20" i="2" s="1"/>
  <c r="F31" i="4"/>
  <c r="G31" i="2"/>
  <c r="G64" i="2" s="1"/>
  <c r="K23" i="2"/>
  <c r="K27" i="2"/>
  <c r="K24" i="2"/>
  <c r="K25" i="2"/>
  <c r="K21" i="2"/>
  <c r="K26" i="2"/>
  <c r="K22" i="2"/>
  <c r="W20" i="2"/>
  <c r="J21" i="2"/>
  <c r="J22" i="2"/>
  <c r="J27" i="2"/>
  <c r="J24" i="2"/>
  <c r="J26" i="2"/>
  <c r="J23" i="2"/>
  <c r="J25" i="2"/>
  <c r="G28" i="4"/>
  <c r="G30" i="4" s="1"/>
  <c r="H27" i="4"/>
  <c r="I28" i="2"/>
  <c r="I29" i="2" s="1"/>
  <c r="I31" i="2" s="1"/>
  <c r="F64" i="2"/>
  <c r="F52" i="2"/>
  <c r="H64" i="2"/>
  <c r="H52" i="2"/>
  <c r="L12" i="2"/>
  <c r="F53" i="2" l="1"/>
  <c r="F101" i="2" s="1"/>
  <c r="X28" i="2"/>
  <c r="X29" i="2"/>
  <c r="Y25" i="4"/>
  <c r="Y26" i="4" s="1"/>
  <c r="Z16" i="2"/>
  <c r="Y17" i="2"/>
  <c r="Y20" i="2" s="1"/>
  <c r="Y28" i="2" s="1"/>
  <c r="Y29" i="2" s="1"/>
  <c r="G31" i="4"/>
  <c r="G53" i="2" s="1"/>
  <c r="G101" i="2" s="1"/>
  <c r="G52" i="2"/>
  <c r="G99" i="2" s="1"/>
  <c r="H99" i="2"/>
  <c r="J28" i="2"/>
  <c r="J29" i="2" s="1"/>
  <c r="J27" i="4" s="1"/>
  <c r="F99" i="2"/>
  <c r="F54" i="2"/>
  <c r="F58" i="2" s="1"/>
  <c r="H28" i="4"/>
  <c r="H30" i="4" s="1"/>
  <c r="L21" i="2"/>
  <c r="L25" i="2"/>
  <c r="L26" i="2"/>
  <c r="L23" i="2"/>
  <c r="L27" i="2"/>
  <c r="L24" i="2"/>
  <c r="L22" i="2"/>
  <c r="I27" i="4"/>
  <c r="H69" i="2"/>
  <c r="H87" i="2" s="1"/>
  <c r="F69" i="2"/>
  <c r="F87" i="2" s="1"/>
  <c r="G69" i="2"/>
  <c r="G87" i="2" s="1"/>
  <c r="I64" i="2"/>
  <c r="I52" i="2"/>
  <c r="M12" i="2"/>
  <c r="K28" i="2"/>
  <c r="K29" i="2" s="1"/>
  <c r="Y31" i="2" l="1"/>
  <c r="Y27" i="4"/>
  <c r="Z25" i="4"/>
  <c r="Z26" i="4" s="1"/>
  <c r="AA16" i="2"/>
  <c r="Z17" i="2"/>
  <c r="Z20" i="2" s="1"/>
  <c r="Z28" i="2" s="1"/>
  <c r="Z29" i="2" s="1"/>
  <c r="Y28" i="4"/>
  <c r="Y30" i="4" s="1"/>
  <c r="X31" i="2"/>
  <c r="X27" i="4"/>
  <c r="X28" i="4" s="1"/>
  <c r="X30" i="4" s="1"/>
  <c r="H31" i="4"/>
  <c r="H53" i="2" s="1"/>
  <c r="J31" i="2"/>
  <c r="J52" i="2" s="1"/>
  <c r="G54" i="2"/>
  <c r="G58" i="2" s="1"/>
  <c r="I99" i="2"/>
  <c r="K27" i="4"/>
  <c r="K31" i="2"/>
  <c r="M21" i="2"/>
  <c r="M27" i="2"/>
  <c r="M24" i="2"/>
  <c r="M26" i="2"/>
  <c r="M22" i="2"/>
  <c r="M23" i="2"/>
  <c r="M25" i="2"/>
  <c r="I28" i="4"/>
  <c r="I30" i="4" s="1"/>
  <c r="I31" i="4" s="1"/>
  <c r="J28" i="4"/>
  <c r="J30" i="4" s="1"/>
  <c r="J64" i="2"/>
  <c r="I69" i="2"/>
  <c r="I87" i="2" s="1"/>
  <c r="L28" i="2"/>
  <c r="L29" i="2" s="1"/>
  <c r="N12" i="2"/>
  <c r="X64" i="2" l="1"/>
  <c r="X52" i="2"/>
  <c r="AA25" i="4"/>
  <c r="AA26" i="4" s="1"/>
  <c r="AB16" i="2"/>
  <c r="AA17" i="2"/>
  <c r="AA20" i="2" s="1"/>
  <c r="Z31" i="2"/>
  <c r="Z27" i="4"/>
  <c r="Z28" i="4"/>
  <c r="Z30" i="4" s="1"/>
  <c r="Y52" i="2"/>
  <c r="Y64" i="2"/>
  <c r="H54" i="2"/>
  <c r="H58" i="2" s="1"/>
  <c r="H101" i="2"/>
  <c r="J31" i="4"/>
  <c r="I53" i="2"/>
  <c r="J99" i="2"/>
  <c r="N24" i="2"/>
  <c r="N25" i="2"/>
  <c r="N22" i="2"/>
  <c r="N26" i="2"/>
  <c r="N23" i="2"/>
  <c r="N27" i="2"/>
  <c r="N21" i="2"/>
  <c r="L27" i="4"/>
  <c r="L31" i="2"/>
  <c r="K28" i="4"/>
  <c r="K30" i="4" s="1"/>
  <c r="K64" i="2"/>
  <c r="K52" i="2"/>
  <c r="J69" i="2"/>
  <c r="J87" i="2" s="1"/>
  <c r="O12" i="2"/>
  <c r="M28" i="2"/>
  <c r="M29" i="2" s="1"/>
  <c r="J53" i="2" l="1"/>
  <c r="Z52" i="2"/>
  <c r="Z64" i="2"/>
  <c r="AA28" i="2"/>
  <c r="AA29" i="2"/>
  <c r="AB17" i="2"/>
  <c r="AB20" i="2" s="1"/>
  <c r="AB28" i="2" s="1"/>
  <c r="AB29" i="2" s="1"/>
  <c r="AB25" i="4"/>
  <c r="AB26" i="4" s="1"/>
  <c r="Y69" i="2"/>
  <c r="Y99" i="2"/>
  <c r="Y54" i="2"/>
  <c r="Y58" i="2" s="1"/>
  <c r="X54" i="2"/>
  <c r="X58" i="2" s="1"/>
  <c r="X99" i="2"/>
  <c r="X69" i="2"/>
  <c r="J101" i="2"/>
  <c r="J54" i="2"/>
  <c r="J58" i="2" s="1"/>
  <c r="K31" i="4"/>
  <c r="K53" i="2" s="1"/>
  <c r="I54" i="2"/>
  <c r="I58" i="2" s="1"/>
  <c r="I101" i="2"/>
  <c r="K99" i="2"/>
  <c r="M27" i="4"/>
  <c r="M31" i="2"/>
  <c r="L28" i="4"/>
  <c r="L30" i="4" s="1"/>
  <c r="O25" i="2"/>
  <c r="O22" i="2"/>
  <c r="O26" i="2"/>
  <c r="O23" i="2"/>
  <c r="O27" i="2"/>
  <c r="O21" i="2"/>
  <c r="O24" i="2"/>
  <c r="L64" i="2"/>
  <c r="L52" i="2"/>
  <c r="K69" i="2"/>
  <c r="K87" i="2" s="1"/>
  <c r="P12" i="2"/>
  <c r="N28" i="2"/>
  <c r="N29" i="2" s="1"/>
  <c r="AB31" i="2" l="1"/>
  <c r="AB27" i="4"/>
  <c r="AA31" i="2"/>
  <c r="AA27" i="4"/>
  <c r="AA28" i="4" s="1"/>
  <c r="AA30" i="4" s="1"/>
  <c r="X87" i="2"/>
  <c r="Z99" i="2"/>
  <c r="Z54" i="2"/>
  <c r="Z58" i="2" s="1"/>
  <c r="Y87" i="2"/>
  <c r="Z69" i="2"/>
  <c r="AB28" i="4"/>
  <c r="AB30" i="4" s="1"/>
  <c r="K101" i="2"/>
  <c r="K54" i="2"/>
  <c r="K58" i="2" s="1"/>
  <c r="L31" i="4"/>
  <c r="L53" i="2" s="1"/>
  <c r="L99" i="2"/>
  <c r="N27" i="4"/>
  <c r="N31" i="2"/>
  <c r="P23" i="2"/>
  <c r="P25" i="2"/>
  <c r="P26" i="2"/>
  <c r="P21" i="2"/>
  <c r="P27" i="2"/>
  <c r="P22" i="2"/>
  <c r="P24" i="2"/>
  <c r="M28" i="4"/>
  <c r="M30" i="4" s="1"/>
  <c r="M64" i="2"/>
  <c r="M52" i="2"/>
  <c r="L69" i="2"/>
  <c r="L87" i="2" s="1"/>
  <c r="O28" i="2"/>
  <c r="O29" i="2" s="1"/>
  <c r="Q12" i="2"/>
  <c r="Z87" i="2" l="1"/>
  <c r="AA52" i="2"/>
  <c r="AA64" i="2"/>
  <c r="AB64" i="2"/>
  <c r="AB52" i="2"/>
  <c r="L101" i="2"/>
  <c r="L54" i="2"/>
  <c r="L58" i="2" s="1"/>
  <c r="M31" i="4"/>
  <c r="M53" i="2" s="1"/>
  <c r="M99" i="2"/>
  <c r="Q21" i="2"/>
  <c r="Q27" i="2"/>
  <c r="Q24" i="2"/>
  <c r="Q23" i="2"/>
  <c r="Q22" i="2"/>
  <c r="Q25" i="2"/>
  <c r="Q26" i="2"/>
  <c r="O27" i="4"/>
  <c r="O31" i="2"/>
  <c r="N28" i="4"/>
  <c r="N30" i="4" s="1"/>
  <c r="N64" i="2"/>
  <c r="N52" i="2"/>
  <c r="M69" i="2"/>
  <c r="M87" i="2" s="1"/>
  <c r="R12" i="2"/>
  <c r="P28" i="2"/>
  <c r="P29" i="2" s="1"/>
  <c r="AA54" i="2" l="1"/>
  <c r="AA58" i="2" s="1"/>
  <c r="AA99" i="2"/>
  <c r="AB99" i="2"/>
  <c r="AB54" i="2"/>
  <c r="AB58" i="2" s="1"/>
  <c r="AB69" i="2"/>
  <c r="AB87" i="2" s="1"/>
  <c r="AA69" i="2"/>
  <c r="M101" i="2"/>
  <c r="M54" i="2"/>
  <c r="M58" i="2" s="1"/>
  <c r="N31" i="4"/>
  <c r="N53" i="2" s="1"/>
  <c r="N99" i="2"/>
  <c r="O28" i="4"/>
  <c r="O30" i="4" s="1"/>
  <c r="P27" i="4"/>
  <c r="P31" i="2"/>
  <c r="R25" i="2"/>
  <c r="R24" i="2"/>
  <c r="R21" i="2"/>
  <c r="R23" i="2"/>
  <c r="R26" i="2"/>
  <c r="R22" i="2"/>
  <c r="R27" i="2"/>
  <c r="O64" i="2"/>
  <c r="O52" i="2"/>
  <c r="N69" i="2"/>
  <c r="N87" i="2" s="1"/>
  <c r="S12" i="2"/>
  <c r="Q28" i="2"/>
  <c r="Q29" i="2" s="1"/>
  <c r="AA87" i="2" l="1"/>
  <c r="N101" i="2"/>
  <c r="N54" i="2"/>
  <c r="N58" i="2" s="1"/>
  <c r="O31" i="4"/>
  <c r="O53" i="2" s="1"/>
  <c r="O99" i="2"/>
  <c r="Q27" i="4"/>
  <c r="Q31" i="2"/>
  <c r="S27" i="2"/>
  <c r="S23" i="2"/>
  <c r="S24" i="2"/>
  <c r="S26" i="2"/>
  <c r="S22" i="2"/>
  <c r="S21" i="2"/>
  <c r="S25" i="2"/>
  <c r="P28" i="4"/>
  <c r="P30" i="4" s="1"/>
  <c r="P64" i="2"/>
  <c r="P52" i="2"/>
  <c r="O69" i="2"/>
  <c r="O87" i="2" s="1"/>
  <c r="R28" i="2"/>
  <c r="R29" i="2" s="1"/>
  <c r="T12" i="2"/>
  <c r="O101" i="2" l="1"/>
  <c r="O54" i="2"/>
  <c r="O58" i="2" s="1"/>
  <c r="P31" i="4"/>
  <c r="P53" i="2" s="1"/>
  <c r="P99" i="2"/>
  <c r="T25" i="2"/>
  <c r="T22" i="2"/>
  <c r="T26" i="2"/>
  <c r="T24" i="2"/>
  <c r="T27" i="2"/>
  <c r="T23" i="2"/>
  <c r="T21" i="2"/>
  <c r="R27" i="4"/>
  <c r="R31" i="2"/>
  <c r="Q28" i="4"/>
  <c r="Q30" i="4" s="1"/>
  <c r="P69" i="2"/>
  <c r="P87" i="2" s="1"/>
  <c r="Q64" i="2"/>
  <c r="Q52" i="2"/>
  <c r="S28" i="2"/>
  <c r="S29" i="2" s="1"/>
  <c r="U12" i="2"/>
  <c r="P101" i="2" l="1"/>
  <c r="P54" i="2"/>
  <c r="P58" i="2" s="1"/>
  <c r="Q31" i="4"/>
  <c r="Q53" i="2" s="1"/>
  <c r="Q99" i="2"/>
  <c r="R28" i="4"/>
  <c r="R30" i="4" s="1"/>
  <c r="U27" i="2"/>
  <c r="U24" i="2"/>
  <c r="U21" i="2"/>
  <c r="U25" i="2"/>
  <c r="U22" i="2"/>
  <c r="U26" i="2"/>
  <c r="U23" i="2"/>
  <c r="S27" i="4"/>
  <c r="S31" i="2"/>
  <c r="Q69" i="2"/>
  <c r="Q87" i="2" s="1"/>
  <c r="R64" i="2"/>
  <c r="R52" i="2"/>
  <c r="V12" i="2"/>
  <c r="T28" i="2"/>
  <c r="T29" i="2" s="1"/>
  <c r="Q101" i="2" l="1"/>
  <c r="Q54" i="2"/>
  <c r="Q58" i="2" s="1"/>
  <c r="R31" i="4"/>
  <c r="R53" i="2" s="1"/>
  <c r="R99" i="2"/>
  <c r="S28" i="4"/>
  <c r="S30" i="4" s="1"/>
  <c r="T27" i="4"/>
  <c r="T31" i="2"/>
  <c r="V21" i="2"/>
  <c r="V23" i="2"/>
  <c r="V24" i="2"/>
  <c r="V26" i="2"/>
  <c r="V27" i="2"/>
  <c r="V22" i="2"/>
  <c r="V25" i="2"/>
  <c r="R69" i="2"/>
  <c r="R87" i="2" s="1"/>
  <c r="S64" i="2"/>
  <c r="S52" i="2"/>
  <c r="U28" i="2"/>
  <c r="U29" i="2" s="1"/>
  <c r="W12" i="2"/>
  <c r="R101" i="2" l="1"/>
  <c r="R54" i="2"/>
  <c r="R58" i="2" s="1"/>
  <c r="S31" i="4"/>
  <c r="S53" i="2" s="1"/>
  <c r="S99" i="2"/>
  <c r="W23" i="2"/>
  <c r="W27" i="2"/>
  <c r="W22" i="2"/>
  <c r="W21" i="2"/>
  <c r="W25" i="2"/>
  <c r="W26" i="2"/>
  <c r="W24" i="2"/>
  <c r="U27" i="4"/>
  <c r="U31" i="2"/>
  <c r="T28" i="4"/>
  <c r="T30" i="4" s="1"/>
  <c r="S69" i="2"/>
  <c r="S87" i="2" s="1"/>
  <c r="T64" i="2"/>
  <c r="T52" i="2"/>
  <c r="V28" i="2"/>
  <c r="V29" i="2" s="1"/>
  <c r="S101" i="2" l="1"/>
  <c r="S54" i="2"/>
  <c r="S58" i="2" s="1"/>
  <c r="T31" i="4"/>
  <c r="T53" i="2" s="1"/>
  <c r="T99" i="2"/>
  <c r="U28" i="4"/>
  <c r="U30" i="4" s="1"/>
  <c r="U31" i="4" s="1"/>
  <c r="D19" i="4" s="1"/>
  <c r="V27" i="4"/>
  <c r="V31" i="2"/>
  <c r="T69" i="2"/>
  <c r="T87" i="2" s="1"/>
  <c r="U64" i="2"/>
  <c r="U52" i="2"/>
  <c r="W28" i="2"/>
  <c r="W29" i="2" s="1"/>
  <c r="T101" i="2" l="1"/>
  <c r="T54" i="2"/>
  <c r="T58" i="2" s="1"/>
  <c r="U99" i="2"/>
  <c r="C36" i="4"/>
  <c r="D33" i="4" s="1"/>
  <c r="U53" i="2"/>
  <c r="V28" i="4"/>
  <c r="V30" i="4" s="1"/>
  <c r="W27" i="4"/>
  <c r="W31" i="2"/>
  <c r="U69" i="2"/>
  <c r="U87" i="2" s="1"/>
  <c r="V64" i="2"/>
  <c r="V52" i="2"/>
  <c r="D19" i="1"/>
  <c r="E43" i="3" s="1"/>
  <c r="E44" i="3" s="1"/>
  <c r="E45" i="3" l="1"/>
  <c r="C7" i="3"/>
  <c r="D35" i="4"/>
  <c r="U54" i="2"/>
  <c r="U58" i="2" s="1"/>
  <c r="U101" i="2"/>
  <c r="V99" i="2"/>
  <c r="V54" i="2"/>
  <c r="V58" i="2" s="1"/>
  <c r="W28" i="4"/>
  <c r="W30" i="4" s="1"/>
  <c r="V69" i="2"/>
  <c r="V87" i="2" s="1"/>
  <c r="W64" i="2"/>
  <c r="W52" i="2"/>
  <c r="E18" i="1"/>
  <c r="E19" i="1"/>
  <c r="E13" i="1"/>
  <c r="E12" i="1"/>
  <c r="E15" i="1"/>
  <c r="E14" i="1"/>
  <c r="E16" i="1"/>
  <c r="E17" i="1"/>
  <c r="C43" i="2"/>
  <c r="C30" i="3"/>
  <c r="AF23" i="3" l="1"/>
  <c r="AQ23" i="3"/>
  <c r="W23" i="3"/>
  <c r="O23" i="3"/>
  <c r="M23" i="3"/>
  <c r="AJ23" i="3"/>
  <c r="AK23" i="3"/>
  <c r="AI23" i="3"/>
  <c r="X23" i="3"/>
  <c r="AH23" i="3"/>
  <c r="AG23" i="3"/>
  <c r="AD23" i="3"/>
  <c r="I23" i="3"/>
  <c r="AM23" i="3"/>
  <c r="AC23" i="3"/>
  <c r="AL23" i="3"/>
  <c r="AA23" i="3"/>
  <c r="T23" i="3"/>
  <c r="R23" i="3"/>
  <c r="AO23" i="3"/>
  <c r="L23" i="3"/>
  <c r="K23" i="3"/>
  <c r="AN23" i="3"/>
  <c r="H23" i="3"/>
  <c r="F23" i="3"/>
  <c r="AB23" i="3"/>
  <c r="Z23" i="3"/>
  <c r="G23" i="3"/>
  <c r="U23" i="3"/>
  <c r="AE23" i="3"/>
  <c r="AP23" i="3"/>
  <c r="P23" i="3"/>
  <c r="N23" i="3"/>
  <c r="V23" i="3"/>
  <c r="J23" i="3"/>
  <c r="Q23" i="3"/>
  <c r="Y23" i="3"/>
  <c r="S23" i="3"/>
  <c r="E23" i="3"/>
  <c r="C6" i="3"/>
  <c r="Z54" i="3"/>
  <c r="Y42" i="5" s="1"/>
  <c r="AN54" i="3"/>
  <c r="AP54" i="3"/>
  <c r="U54" i="3"/>
  <c r="AH54" i="3"/>
  <c r="G54" i="3"/>
  <c r="S54" i="3"/>
  <c r="AE54" i="3"/>
  <c r="AQ54" i="3"/>
  <c r="AL54" i="3"/>
  <c r="E54" i="3"/>
  <c r="AG54" i="3"/>
  <c r="H54" i="3"/>
  <c r="K54" i="3"/>
  <c r="AO54" i="3"/>
  <c r="F54" i="3"/>
  <c r="E40" i="5" s="1"/>
  <c r="P54" i="3"/>
  <c r="AB54" i="3"/>
  <c r="AA42" i="5" s="1"/>
  <c r="AJ54" i="3"/>
  <c r="Q54" i="3"/>
  <c r="W54" i="3"/>
  <c r="T54" i="3"/>
  <c r="AA54" i="3"/>
  <c r="Z42" i="5" s="1"/>
  <c r="I54" i="3"/>
  <c r="L54" i="3"/>
  <c r="R54" i="3"/>
  <c r="AD54" i="3"/>
  <c r="M54" i="3"/>
  <c r="O54" i="3"/>
  <c r="AC54" i="3"/>
  <c r="X54" i="3"/>
  <c r="AF54" i="3"/>
  <c r="Y54" i="3"/>
  <c r="X42" i="5" s="1"/>
  <c r="AM54" i="3"/>
  <c r="AI54" i="3"/>
  <c r="N54" i="3"/>
  <c r="V54" i="3"/>
  <c r="AK54" i="3"/>
  <c r="J54" i="3"/>
  <c r="C91" i="5"/>
  <c r="C94" i="5" s="1"/>
  <c r="D34" i="4"/>
  <c r="D65" i="2"/>
  <c r="W99" i="2"/>
  <c r="W54" i="2"/>
  <c r="W58" i="2" s="1"/>
  <c r="W69" i="2"/>
  <c r="W87" i="2" s="1"/>
  <c r="C44" i="2"/>
  <c r="G39" i="3"/>
  <c r="I39" i="3"/>
  <c r="K39" i="3"/>
  <c r="N39" i="3"/>
  <c r="Q39" i="3"/>
  <c r="S39" i="3"/>
  <c r="U39" i="3"/>
  <c r="V39" i="3"/>
  <c r="W39" i="3"/>
  <c r="Y39" i="3"/>
  <c r="AA39" i="3"/>
  <c r="AC39" i="3"/>
  <c r="AE39" i="3"/>
  <c r="AG39" i="3"/>
  <c r="AI39" i="3"/>
  <c r="AK39" i="3"/>
  <c r="AM39" i="3"/>
  <c r="AO39" i="3"/>
  <c r="AQ39" i="3"/>
  <c r="X39" i="3"/>
  <c r="E39" i="3"/>
  <c r="F39" i="3"/>
  <c r="H39" i="3"/>
  <c r="J39" i="3"/>
  <c r="L39" i="3"/>
  <c r="M39" i="3"/>
  <c r="O39" i="3"/>
  <c r="P39" i="3"/>
  <c r="R39" i="3"/>
  <c r="T39" i="3"/>
  <c r="Z39" i="3"/>
  <c r="AB39" i="3"/>
  <c r="AD39" i="3"/>
  <c r="AF39" i="3"/>
  <c r="AH39" i="3"/>
  <c r="AJ39" i="3"/>
  <c r="AL39" i="3"/>
  <c r="AN39" i="3"/>
  <c r="AP39" i="3"/>
  <c r="AB204" i="5" l="1"/>
  <c r="AB211" i="5"/>
  <c r="AB92" i="5"/>
  <c r="D90" i="5"/>
  <c r="Z92" i="5"/>
  <c r="Z54" i="5"/>
  <c r="Z211" i="5" s="1"/>
  <c r="Z53" i="5"/>
  <c r="D54" i="3"/>
  <c r="D40" i="5"/>
  <c r="D42" i="5" s="1"/>
  <c r="AA54" i="5"/>
  <c r="AA211" i="5" s="1"/>
  <c r="AA53" i="5"/>
  <c r="AA92" i="5"/>
  <c r="X53" i="5"/>
  <c r="X54" i="5"/>
  <c r="X211" i="5" s="1"/>
  <c r="X92" i="5"/>
  <c r="Y53" i="5"/>
  <c r="Y92" i="5"/>
  <c r="Y54" i="5"/>
  <c r="Y211" i="5" s="1"/>
  <c r="D36" i="4"/>
  <c r="E33" i="4" s="1"/>
  <c r="E35" i="4" s="1"/>
  <c r="E65" i="2" s="1"/>
  <c r="D38" i="4"/>
  <c r="N42" i="5"/>
  <c r="N92" i="5" s="1"/>
  <c r="G42" i="5"/>
  <c r="G92" i="5" s="1"/>
  <c r="T42" i="5"/>
  <c r="T92" i="5" s="1"/>
  <c r="J42" i="5"/>
  <c r="J92" i="5" s="1"/>
  <c r="E42" i="5"/>
  <c r="E92" i="5" s="1"/>
  <c r="R42" i="5"/>
  <c r="R92" i="5" s="1"/>
  <c r="S42" i="5"/>
  <c r="S92" i="5" s="1"/>
  <c r="V42" i="5"/>
  <c r="V92" i="5" s="1"/>
  <c r="P42" i="5"/>
  <c r="P92" i="5" s="1"/>
  <c r="F42" i="5"/>
  <c r="F92" i="5" s="1"/>
  <c r="L42" i="5"/>
  <c r="L92" i="5" s="1"/>
  <c r="H42" i="5"/>
  <c r="H92" i="5" s="1"/>
  <c r="Q42" i="5"/>
  <c r="Q92" i="5" s="1"/>
  <c r="K42" i="5"/>
  <c r="K92" i="5" s="1"/>
  <c r="O42" i="5"/>
  <c r="O92" i="5" s="1"/>
  <c r="I42" i="5"/>
  <c r="I92" i="5" s="1"/>
  <c r="W42" i="5"/>
  <c r="W92" i="5" s="1"/>
  <c r="U42" i="5"/>
  <c r="U92" i="5" s="1"/>
  <c r="M42" i="5"/>
  <c r="M92" i="5" s="1"/>
  <c r="C45" i="2"/>
  <c r="C57" i="2"/>
  <c r="C75" i="2"/>
  <c r="D39" i="3"/>
  <c r="AB126" i="5" l="1"/>
  <c r="AB102" i="5"/>
  <c r="D92" i="5"/>
  <c r="D94" i="5" s="1"/>
  <c r="D53" i="5"/>
  <c r="D54" i="5"/>
  <c r="D211" i="5" s="1"/>
  <c r="AA126" i="5"/>
  <c r="AA68" i="5"/>
  <c r="AA70" i="5" s="1"/>
  <c r="Y102" i="5"/>
  <c r="Y59" i="5"/>
  <c r="Y61" i="5" s="1"/>
  <c r="X126" i="5"/>
  <c r="X68" i="5"/>
  <c r="X70" i="5" s="1"/>
  <c r="Z59" i="5"/>
  <c r="Z61" i="5" s="1"/>
  <c r="Z102" i="5"/>
  <c r="AA102" i="5"/>
  <c r="AA59" i="5"/>
  <c r="AA61" i="5" s="1"/>
  <c r="X59" i="5"/>
  <c r="X61" i="5" s="1"/>
  <c r="X102" i="5"/>
  <c r="Z68" i="5"/>
  <c r="Z70" i="5" s="1"/>
  <c r="Z126" i="5"/>
  <c r="Y68" i="5"/>
  <c r="Y70" i="5" s="1"/>
  <c r="Y126" i="5"/>
  <c r="E34" i="4"/>
  <c r="E36" i="4" s="1"/>
  <c r="F33" i="4" s="1"/>
  <c r="D71" i="2"/>
  <c r="D39" i="4"/>
  <c r="M54" i="5"/>
  <c r="M211" i="5" s="1"/>
  <c r="M53" i="5"/>
  <c r="O54" i="5"/>
  <c r="O211" i="5" s="1"/>
  <c r="O53" i="5"/>
  <c r="L54" i="5"/>
  <c r="L211" i="5" s="1"/>
  <c r="L53" i="5"/>
  <c r="P53" i="5"/>
  <c r="P54" i="5"/>
  <c r="P211" i="5" s="1"/>
  <c r="S54" i="5"/>
  <c r="S211" i="5" s="1"/>
  <c r="S53" i="5"/>
  <c r="T54" i="5"/>
  <c r="T211" i="5" s="1"/>
  <c r="T53" i="5"/>
  <c r="N54" i="5"/>
  <c r="N211" i="5" s="1"/>
  <c r="N53" i="5"/>
  <c r="W54" i="5"/>
  <c r="W211" i="5" s="1"/>
  <c r="W53" i="5"/>
  <c r="Q54" i="5"/>
  <c r="Q211" i="5" s="1"/>
  <c r="Q53" i="5"/>
  <c r="E54" i="5"/>
  <c r="E211" i="5" s="1"/>
  <c r="E53" i="5"/>
  <c r="I54" i="5"/>
  <c r="I211" i="5" s="1"/>
  <c r="I53" i="5"/>
  <c r="F54" i="5"/>
  <c r="F211" i="5" s="1"/>
  <c r="F53" i="5"/>
  <c r="R54" i="5"/>
  <c r="R211" i="5" s="1"/>
  <c r="R53" i="5"/>
  <c r="G54" i="5"/>
  <c r="G211" i="5" s="1"/>
  <c r="G53" i="5"/>
  <c r="U54" i="5"/>
  <c r="U211" i="5" s="1"/>
  <c r="U53" i="5"/>
  <c r="K54" i="5"/>
  <c r="K211" i="5" s="1"/>
  <c r="K53" i="5"/>
  <c r="H53" i="5"/>
  <c r="H54" i="5"/>
  <c r="H211" i="5" s="1"/>
  <c r="V54" i="5"/>
  <c r="V211" i="5" s="1"/>
  <c r="V53" i="5"/>
  <c r="J54" i="5"/>
  <c r="J211" i="5" s="1"/>
  <c r="J53" i="5"/>
  <c r="D126" i="5" l="1"/>
  <c r="D68" i="5"/>
  <c r="E90" i="5"/>
  <c r="E94" i="5" s="1"/>
  <c r="D59" i="5"/>
  <c r="D102" i="5"/>
  <c r="E38" i="4"/>
  <c r="E71" i="2" s="1"/>
  <c r="H68" i="5"/>
  <c r="I68" i="5"/>
  <c r="H59" i="5"/>
  <c r="K59" i="5"/>
  <c r="P59" i="5"/>
  <c r="U59" i="5"/>
  <c r="L68" i="5"/>
  <c r="G68" i="5"/>
  <c r="O68" i="5"/>
  <c r="S59" i="5"/>
  <c r="E59" i="5"/>
  <c r="J59" i="5"/>
  <c r="M59" i="5"/>
  <c r="I59" i="5"/>
  <c r="S68" i="5"/>
  <c r="K68" i="5"/>
  <c r="U68" i="5"/>
  <c r="J68" i="5"/>
  <c r="R68" i="5"/>
  <c r="N68" i="5"/>
  <c r="M68" i="5"/>
  <c r="P68" i="5"/>
  <c r="E68" i="5"/>
  <c r="L59" i="5"/>
  <c r="Q68" i="5"/>
  <c r="G59" i="5"/>
  <c r="R59" i="5"/>
  <c r="N59" i="5"/>
  <c r="V59" i="5"/>
  <c r="F59" i="5"/>
  <c r="T59" i="5"/>
  <c r="Q59" i="5"/>
  <c r="O59" i="5"/>
  <c r="V68" i="5"/>
  <c r="F68" i="5"/>
  <c r="T68" i="5"/>
  <c r="W59" i="5"/>
  <c r="W68" i="5"/>
  <c r="E39" i="4"/>
  <c r="V126" i="5"/>
  <c r="S126" i="5"/>
  <c r="S102" i="5"/>
  <c r="P126" i="5"/>
  <c r="U102" i="5"/>
  <c r="U126" i="5"/>
  <c r="T126" i="5"/>
  <c r="I102" i="5"/>
  <c r="H102" i="5"/>
  <c r="E102" i="5"/>
  <c r="K126" i="5"/>
  <c r="P102" i="5"/>
  <c r="L102" i="5"/>
  <c r="Q126" i="5"/>
  <c r="O126" i="5"/>
  <c r="R102" i="5"/>
  <c r="E126" i="5"/>
  <c r="Q102" i="5"/>
  <c r="L126" i="5"/>
  <c r="G102" i="5"/>
  <c r="W102" i="5"/>
  <c r="W126" i="5"/>
  <c r="J102" i="5"/>
  <c r="N102" i="5"/>
  <c r="N126" i="5"/>
  <c r="F126" i="5"/>
  <c r="H126" i="5"/>
  <c r="I126" i="5"/>
  <c r="K102" i="5"/>
  <c r="O102" i="5"/>
  <c r="G126" i="5"/>
  <c r="M102" i="5"/>
  <c r="J126" i="5"/>
  <c r="R126" i="5"/>
  <c r="M126" i="5"/>
  <c r="V102" i="5"/>
  <c r="F102" i="5"/>
  <c r="T102" i="5"/>
  <c r="F35" i="4"/>
  <c r="F90" i="5" l="1"/>
  <c r="F94" i="5" s="1"/>
  <c r="F34" i="4"/>
  <c r="F36" i="4" s="1"/>
  <c r="F65" i="2"/>
  <c r="G90" i="5" l="1"/>
  <c r="G94" i="5" s="1"/>
  <c r="F38" i="4"/>
  <c r="G33" i="4"/>
  <c r="H90" i="5" l="1"/>
  <c r="H94" i="5" s="1"/>
  <c r="F39" i="4"/>
  <c r="F71" i="2"/>
  <c r="G35" i="4"/>
  <c r="I90" i="5" l="1"/>
  <c r="I94" i="5" s="1"/>
  <c r="AI22" i="3"/>
  <c r="W22" i="3"/>
  <c r="K22" i="3"/>
  <c r="AA22" i="3"/>
  <c r="N22" i="3"/>
  <c r="AJ22" i="3"/>
  <c r="AH22" i="3"/>
  <c r="V22" i="3"/>
  <c r="J22" i="3"/>
  <c r="AG22" i="3"/>
  <c r="U22" i="3"/>
  <c r="I22" i="3"/>
  <c r="AB22" i="3"/>
  <c r="AM22" i="3"/>
  <c r="Z22" i="3"/>
  <c r="Y22" i="3"/>
  <c r="AF22" i="3"/>
  <c r="T22" i="3"/>
  <c r="H22" i="3"/>
  <c r="AN22" i="3"/>
  <c r="AQ22" i="3"/>
  <c r="AE22" i="3"/>
  <c r="S22" i="3"/>
  <c r="G22" i="3"/>
  <c r="O22" i="3"/>
  <c r="AL22" i="3"/>
  <c r="AP22" i="3"/>
  <c r="AD22" i="3"/>
  <c r="R22" i="3"/>
  <c r="F22" i="3"/>
  <c r="AO22" i="3"/>
  <c r="AC22" i="3"/>
  <c r="Q22" i="3"/>
  <c r="E22" i="3"/>
  <c r="M22" i="3"/>
  <c r="P22" i="3"/>
  <c r="X22" i="3"/>
  <c r="L22" i="3"/>
  <c r="AK22" i="3"/>
  <c r="G34" i="4"/>
  <c r="G36" i="4" s="1"/>
  <c r="G65" i="2"/>
  <c r="J90" i="5" l="1"/>
  <c r="J94" i="5" s="1"/>
  <c r="D188" i="5"/>
  <c r="D191" i="5"/>
  <c r="L188" i="5"/>
  <c r="L191" i="5"/>
  <c r="H188" i="5"/>
  <c r="H191" i="5"/>
  <c r="I188" i="5"/>
  <c r="I191" i="5"/>
  <c r="M188" i="5"/>
  <c r="M191" i="5"/>
  <c r="R188" i="5"/>
  <c r="R191" i="5"/>
  <c r="P188" i="5"/>
  <c r="P191" i="5"/>
  <c r="E188" i="5"/>
  <c r="E191" i="5"/>
  <c r="Z188" i="5"/>
  <c r="Z191" i="5"/>
  <c r="T188" i="5"/>
  <c r="T191" i="5"/>
  <c r="G188" i="5"/>
  <c r="G191" i="5"/>
  <c r="Q188" i="5"/>
  <c r="Q191" i="5"/>
  <c r="J188" i="5"/>
  <c r="J191" i="5"/>
  <c r="F188" i="5"/>
  <c r="F191" i="5"/>
  <c r="X188" i="5"/>
  <c r="X191" i="5"/>
  <c r="V188" i="5"/>
  <c r="V191" i="5"/>
  <c r="O188" i="5"/>
  <c r="O191" i="5"/>
  <c r="U188" i="5"/>
  <c r="U191" i="5"/>
  <c r="S188" i="5"/>
  <c r="S191" i="5"/>
  <c r="Y188" i="5"/>
  <c r="Y191" i="5"/>
  <c r="K188" i="5"/>
  <c r="K191" i="5"/>
  <c r="W188" i="5"/>
  <c r="W191" i="5"/>
  <c r="N188" i="5"/>
  <c r="N191" i="5"/>
  <c r="AA188" i="5"/>
  <c r="AA191" i="5"/>
  <c r="G38" i="4"/>
  <c r="H33" i="4"/>
  <c r="K90" i="5" l="1"/>
  <c r="K94" i="5" s="1"/>
  <c r="G39" i="4"/>
  <c r="G71" i="2"/>
  <c r="H35" i="4"/>
  <c r="L90" i="5" l="1"/>
  <c r="L94" i="5" s="1"/>
  <c r="H34" i="4"/>
  <c r="H36" i="4" s="1"/>
  <c r="I33" i="4" s="1"/>
  <c r="H65" i="2"/>
  <c r="M90" i="5" l="1"/>
  <c r="M94" i="5" s="1"/>
  <c r="H38" i="4"/>
  <c r="H39" i="4" s="1"/>
  <c r="H71" i="2"/>
  <c r="I35" i="4"/>
  <c r="N90" i="5" l="1"/>
  <c r="N94" i="5" s="1"/>
  <c r="I34" i="4"/>
  <c r="I36" i="4" s="1"/>
  <c r="I65" i="2"/>
  <c r="O90" i="5" l="1"/>
  <c r="O94" i="5" s="1"/>
  <c r="I38" i="4"/>
  <c r="J33" i="4"/>
  <c r="P90" i="5" l="1"/>
  <c r="P94" i="5" s="1"/>
  <c r="I39" i="4"/>
  <c r="I71" i="2"/>
  <c r="J35" i="4"/>
  <c r="Q90" i="5" l="1"/>
  <c r="Q94" i="5" s="1"/>
  <c r="J34" i="4"/>
  <c r="J36" i="4" s="1"/>
  <c r="J65" i="2"/>
  <c r="R90" i="5" l="1"/>
  <c r="R94" i="5" s="1"/>
  <c r="J38" i="4"/>
  <c r="K33" i="4"/>
  <c r="S90" i="5" l="1"/>
  <c r="S94" i="5" s="1"/>
  <c r="J39" i="4"/>
  <c r="J71" i="2"/>
  <c r="K35" i="4"/>
  <c r="T90" i="5" l="1"/>
  <c r="T94" i="5" s="1"/>
  <c r="K34" i="4"/>
  <c r="K36" i="4" s="1"/>
  <c r="K65" i="2"/>
  <c r="J89" i="2"/>
  <c r="U90" i="5" l="1"/>
  <c r="U94" i="5" s="1"/>
  <c r="K38" i="4"/>
  <c r="L33" i="4"/>
  <c r="V89" i="2"/>
  <c r="V90" i="5" l="1"/>
  <c r="V94" i="5" s="1"/>
  <c r="K39" i="4"/>
  <c r="K71" i="2"/>
  <c r="L35" i="4"/>
  <c r="I89" i="2"/>
  <c r="W90" i="5" l="1"/>
  <c r="W94" i="5" s="1"/>
  <c r="L34" i="4"/>
  <c r="L36" i="4" s="1"/>
  <c r="L65" i="2"/>
  <c r="K89" i="2"/>
  <c r="W89" i="2"/>
  <c r="X90" i="5" l="1"/>
  <c r="X94" i="5" s="1"/>
  <c r="L38" i="4"/>
  <c r="M33" i="4"/>
  <c r="H89" i="2"/>
  <c r="Y90" i="5" l="1"/>
  <c r="Y94" i="5" s="1"/>
  <c r="L39" i="4"/>
  <c r="L71" i="2"/>
  <c r="M35" i="4"/>
  <c r="Z90" i="5" l="1"/>
  <c r="Z94" i="5" s="1"/>
  <c r="M34" i="4"/>
  <c r="M36" i="4" s="1"/>
  <c r="M65" i="2"/>
  <c r="L89" i="2"/>
  <c r="G89" i="2"/>
  <c r="AA90" i="5" l="1"/>
  <c r="AA94" i="5" s="1"/>
  <c r="AB90" i="5" s="1"/>
  <c r="M38" i="4"/>
  <c r="N33" i="4"/>
  <c r="M39" i="4" l="1"/>
  <c r="M71" i="2"/>
  <c r="N35" i="4"/>
  <c r="F89" i="2"/>
  <c r="N34" i="4" l="1"/>
  <c r="N36" i="4" s="1"/>
  <c r="N65" i="2"/>
  <c r="M89" i="2"/>
  <c r="N38" i="4" l="1"/>
  <c r="O33" i="4"/>
  <c r="E89" i="2"/>
  <c r="L7" i="1"/>
  <c r="N39" i="4" l="1"/>
  <c r="N71" i="2"/>
  <c r="O35" i="4"/>
  <c r="L8" i="1"/>
  <c r="O34" i="4" l="1"/>
  <c r="O36" i="4" s="1"/>
  <c r="O65" i="2"/>
  <c r="N89" i="2"/>
  <c r="C56" i="2"/>
  <c r="C58" i="2" s="1"/>
  <c r="C60" i="2" s="1"/>
  <c r="D89" i="2"/>
  <c r="C74" i="2"/>
  <c r="L9" i="1"/>
  <c r="C76" i="2" l="1"/>
  <c r="C92" i="2"/>
  <c r="O38" i="4"/>
  <c r="P33" i="4"/>
  <c r="M9" i="1"/>
  <c r="M7" i="1"/>
  <c r="M8" i="1"/>
  <c r="O39" i="4" l="1"/>
  <c r="O71" i="2"/>
  <c r="P35" i="4"/>
  <c r="C94" i="2"/>
  <c r="C104" i="2"/>
  <c r="C106" i="2" s="1"/>
  <c r="P34" i="4" l="1"/>
  <c r="P36" i="4" s="1"/>
  <c r="P65" i="2"/>
  <c r="O89" i="2"/>
  <c r="P38" i="4" l="1"/>
  <c r="Q33" i="4"/>
  <c r="P39" i="4" l="1"/>
  <c r="P71" i="2"/>
  <c r="Q35" i="4"/>
  <c r="Q34" i="4" l="1"/>
  <c r="Q36" i="4" s="1"/>
  <c r="Q65" i="2"/>
  <c r="P89" i="2"/>
  <c r="Q38" i="4" l="1"/>
  <c r="R33" i="4"/>
  <c r="Q39" i="4" l="1"/>
  <c r="Q71" i="2"/>
  <c r="R35" i="4"/>
  <c r="AB94" i="5" l="1"/>
  <c r="R34" i="4"/>
  <c r="R36" i="4" s="1"/>
  <c r="R65" i="2"/>
  <c r="Q89" i="2"/>
  <c r="R38" i="4" l="1"/>
  <c r="S33" i="4"/>
  <c r="R39" i="4" l="1"/>
  <c r="R71" i="2"/>
  <c r="S35" i="4"/>
  <c r="S34" i="4" l="1"/>
  <c r="S36" i="4" s="1"/>
  <c r="S65" i="2"/>
  <c r="R89" i="2"/>
  <c r="S38" i="4" l="1"/>
  <c r="T33" i="4"/>
  <c r="S39" i="4" l="1"/>
  <c r="S71" i="2"/>
  <c r="T35" i="4"/>
  <c r="T34" i="4" l="1"/>
  <c r="T36" i="4" s="1"/>
  <c r="T65" i="2"/>
  <c r="S89" i="2"/>
  <c r="T38" i="4" l="1"/>
  <c r="U33" i="4"/>
  <c r="T39" i="4" l="1"/>
  <c r="T71" i="2"/>
  <c r="U35" i="4"/>
  <c r="U34" i="4" l="1"/>
  <c r="U36" i="4" s="1"/>
  <c r="U65" i="2"/>
  <c r="T89" i="2"/>
  <c r="U38" i="4" l="1"/>
  <c r="V33" i="4"/>
  <c r="U39" i="4" l="1"/>
  <c r="U71" i="2"/>
  <c r="V35" i="4"/>
  <c r="V34" i="4" l="1"/>
  <c r="V36" i="4" s="1"/>
  <c r="W33" i="4" s="1"/>
  <c r="V65" i="2"/>
  <c r="U89" i="2"/>
  <c r="W35" i="4" l="1"/>
  <c r="W34" i="4" l="1"/>
  <c r="W36" i="4" s="1"/>
  <c r="X33" i="4" s="1"/>
  <c r="X35" i="4" s="1"/>
  <c r="W65" i="2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C63" i="5" l="1"/>
  <c r="X65" i="2"/>
  <c r="X34" i="4"/>
  <c r="X36" i="4" s="1"/>
  <c r="Y33" i="4" s="1"/>
  <c r="Y35" i="4" s="1"/>
  <c r="Y34" i="4" l="1"/>
  <c r="Y36" i="4" s="1"/>
  <c r="Z33" i="4" s="1"/>
  <c r="Z35" i="4" s="1"/>
  <c r="Y65" i="2"/>
  <c r="C147" i="5"/>
  <c r="C61" i="5"/>
  <c r="C11" i="3"/>
  <c r="C122" i="2"/>
  <c r="C100" i="5"/>
  <c r="O13" i="5" l="1"/>
  <c r="C113" i="5" s="1"/>
  <c r="Z34" i="4"/>
  <c r="Z36" i="4" s="1"/>
  <c r="AA33" i="4" s="1"/>
  <c r="AA35" i="4" s="1"/>
  <c r="Z65" i="2"/>
  <c r="C103" i="5"/>
  <c r="C12" i="3"/>
  <c r="C72" i="5" s="1"/>
  <c r="C104" i="5" l="1"/>
  <c r="C129" i="5" s="1"/>
  <c r="C124" i="5"/>
  <c r="C127" i="5" s="1"/>
  <c r="C82" i="5"/>
  <c r="D113" i="5"/>
  <c r="C114" i="5"/>
  <c r="AA34" i="4"/>
  <c r="AA36" i="4" s="1"/>
  <c r="AB33" i="4" s="1"/>
  <c r="AB35" i="4" s="1"/>
  <c r="AA65" i="2"/>
  <c r="C13" i="3"/>
  <c r="D13" i="3" s="1"/>
  <c r="E113" i="5" l="1"/>
  <c r="AB34" i="4"/>
  <c r="AB36" i="4" s="1"/>
  <c r="AB65" i="2"/>
  <c r="D12" i="3"/>
  <c r="C121" i="2" s="1"/>
  <c r="D11" i="3"/>
  <c r="C8" i="3" l="1"/>
  <c r="N24" i="3" s="1"/>
  <c r="N26" i="3" s="1"/>
  <c r="F113" i="5"/>
  <c r="M37" i="2" l="1"/>
  <c r="M189" i="5"/>
  <c r="M200" i="5" s="1"/>
  <c r="Q24" i="3"/>
  <c r="Q26" i="3" s="1"/>
  <c r="AC24" i="3"/>
  <c r="AB189" i="5" s="1"/>
  <c r="R24" i="3"/>
  <c r="Q37" i="2" s="1"/>
  <c r="Q38" i="2" s="1"/>
  <c r="Q39" i="2" s="1"/>
  <c r="Q41" i="2" s="1"/>
  <c r="Q45" i="2" s="1"/>
  <c r="F24" i="3"/>
  <c r="E37" i="2" s="1"/>
  <c r="E66" i="2" s="1"/>
  <c r="AL24" i="3"/>
  <c r="AL26" i="3" s="1"/>
  <c r="V24" i="3"/>
  <c r="U37" i="2" s="1"/>
  <c r="U66" i="2" s="1"/>
  <c r="O24" i="3"/>
  <c r="O26" i="3" s="1"/>
  <c r="AI24" i="3"/>
  <c r="AI26" i="3" s="1"/>
  <c r="J24" i="3"/>
  <c r="J26" i="3" s="1"/>
  <c r="G24" i="3"/>
  <c r="F37" i="2" s="1"/>
  <c r="F66" i="2" s="1"/>
  <c r="AG24" i="3"/>
  <c r="AG26" i="3" s="1"/>
  <c r="P24" i="3"/>
  <c r="O189" i="5" s="1"/>
  <c r="O196" i="5" s="1"/>
  <c r="M24" i="3"/>
  <c r="M26" i="3" s="1"/>
  <c r="AB24" i="3"/>
  <c r="AB26" i="3" s="1"/>
  <c r="AA24" i="3"/>
  <c r="Z37" i="2" s="1"/>
  <c r="AF24" i="3"/>
  <c r="AK24" i="3"/>
  <c r="AK26" i="3" s="1"/>
  <c r="AM24" i="3"/>
  <c r="AM26" i="3" s="1"/>
  <c r="U24" i="3"/>
  <c r="T189" i="5" s="1"/>
  <c r="T196" i="5" s="1"/>
  <c r="AD24" i="3"/>
  <c r="AD26" i="3" s="1"/>
  <c r="AO24" i="3"/>
  <c r="AP24" i="3"/>
  <c r="AP26" i="3" s="1"/>
  <c r="AH24" i="3"/>
  <c r="AH26" i="3" s="1"/>
  <c r="S24" i="3"/>
  <c r="R189" i="5" s="1"/>
  <c r="R195" i="5" s="1"/>
  <c r="Y24" i="3"/>
  <c r="Y26" i="3" s="1"/>
  <c r="I24" i="3"/>
  <c r="H37" i="2" s="1"/>
  <c r="H38" i="2" s="1"/>
  <c r="H39" i="2" s="1"/>
  <c r="H41" i="2" s="1"/>
  <c r="H45" i="2" s="1"/>
  <c r="AE24" i="3"/>
  <c r="X24" i="3"/>
  <c r="X26" i="3" s="1"/>
  <c r="W183" i="5" s="1"/>
  <c r="E24" i="3"/>
  <c r="E26" i="3" s="1"/>
  <c r="AQ24" i="3"/>
  <c r="AQ26" i="3" s="1"/>
  <c r="AJ24" i="3"/>
  <c r="AJ26" i="3" s="1"/>
  <c r="Z24" i="3"/>
  <c r="Z26" i="3" s="1"/>
  <c r="K24" i="3"/>
  <c r="K26" i="3" s="1"/>
  <c r="H24" i="3"/>
  <c r="G37" i="2" s="1"/>
  <c r="G66" i="2" s="1"/>
  <c r="L24" i="3"/>
  <c r="K189" i="5" s="1"/>
  <c r="K195" i="5" s="1"/>
  <c r="T24" i="3"/>
  <c r="S189" i="5" s="1"/>
  <c r="S200" i="5" s="1"/>
  <c r="AN24" i="3"/>
  <c r="AN26" i="3" s="1"/>
  <c r="W24" i="3"/>
  <c r="V37" i="2" s="1"/>
  <c r="V66" i="2" s="1"/>
  <c r="O14" i="5"/>
  <c r="C137" i="5" s="1"/>
  <c r="C138" i="5" s="1"/>
  <c r="G113" i="5"/>
  <c r="AC26" i="3"/>
  <c r="AB199" i="5" s="1"/>
  <c r="AB37" i="2"/>
  <c r="X189" i="5"/>
  <c r="X200" i="5" s="1"/>
  <c r="X37" i="2"/>
  <c r="E189" i="5"/>
  <c r="E195" i="5" s="1"/>
  <c r="S26" i="3"/>
  <c r="R183" i="5" s="1"/>
  <c r="R37" i="2"/>
  <c r="R66" i="2" s="1"/>
  <c r="G26" i="3"/>
  <c r="F183" i="5" s="1"/>
  <c r="F189" i="5"/>
  <c r="P37" i="2"/>
  <c r="P66" i="2" s="1"/>
  <c r="I26" i="3"/>
  <c r="H183" i="5" s="1"/>
  <c r="I189" i="5"/>
  <c r="I195" i="5" s="1"/>
  <c r="J189" i="5"/>
  <c r="J195" i="5" s="1"/>
  <c r="I37" i="2"/>
  <c r="I66" i="2" s="1"/>
  <c r="J37" i="2"/>
  <c r="J66" i="2" s="1"/>
  <c r="P189" i="5"/>
  <c r="P195" i="5" s="1"/>
  <c r="Z189" i="5"/>
  <c r="Z200" i="5" s="1"/>
  <c r="O37" i="2"/>
  <c r="O66" i="2" s="1"/>
  <c r="P26" i="3"/>
  <c r="O183" i="5" s="1"/>
  <c r="AF26" i="3"/>
  <c r="H189" i="5"/>
  <c r="H195" i="5" s="1"/>
  <c r="U189" i="5"/>
  <c r="U200" i="5" s="1"/>
  <c r="N37" i="2"/>
  <c r="N66" i="2" s="1"/>
  <c r="N189" i="5"/>
  <c r="N195" i="5" s="1"/>
  <c r="Y189" i="5"/>
  <c r="T37" i="2"/>
  <c r="T38" i="2" s="1"/>
  <c r="T39" i="2" s="1"/>
  <c r="T41" i="2" s="1"/>
  <c r="T45" i="2" s="1"/>
  <c r="Q189" i="5"/>
  <c r="Q195" i="5" s="1"/>
  <c r="R26" i="3"/>
  <c r="Q183" i="5" s="1"/>
  <c r="D183" i="5"/>
  <c r="C165" i="5"/>
  <c r="N183" i="5"/>
  <c r="F38" i="2"/>
  <c r="F39" i="2" s="1"/>
  <c r="F41" i="2" s="1"/>
  <c r="F45" i="2" s="1"/>
  <c r="G38" i="2"/>
  <c r="G39" i="2" s="1"/>
  <c r="G41" i="2" s="1"/>
  <c r="G45" i="2" s="1"/>
  <c r="U38" i="2"/>
  <c r="U39" i="2" s="1"/>
  <c r="U41" i="2" s="1"/>
  <c r="U45" i="2" s="1"/>
  <c r="Q66" i="2"/>
  <c r="M195" i="5"/>
  <c r="J183" i="5"/>
  <c r="M66" i="2"/>
  <c r="M38" i="2"/>
  <c r="M39" i="2" s="1"/>
  <c r="M41" i="2" s="1"/>
  <c r="M45" i="2" s="1"/>
  <c r="I183" i="5"/>
  <c r="M183" i="5"/>
  <c r="L183" i="5"/>
  <c r="P183" i="5"/>
  <c r="G189" i="5" l="1"/>
  <c r="G195" i="5" s="1"/>
  <c r="AB195" i="5"/>
  <c r="AB200" i="5"/>
  <c r="AB196" i="5"/>
  <c r="AB201" i="5"/>
  <c r="E38" i="2"/>
  <c r="E39" i="2" s="1"/>
  <c r="E41" i="2" s="1"/>
  <c r="E45" i="2" s="1"/>
  <c r="H66" i="2"/>
  <c r="T200" i="5"/>
  <c r="K200" i="5"/>
  <c r="S37" i="2"/>
  <c r="S38" i="2" s="1"/>
  <c r="S39" i="2" s="1"/>
  <c r="S41" i="2" s="1"/>
  <c r="S45" i="2" s="1"/>
  <c r="L37" i="2"/>
  <c r="L66" i="2" s="1"/>
  <c r="V38" i="2"/>
  <c r="V39" i="2" s="1"/>
  <c r="V41" i="2" s="1"/>
  <c r="V45" i="2" s="1"/>
  <c r="T195" i="5"/>
  <c r="M196" i="5"/>
  <c r="M199" i="5"/>
  <c r="R196" i="5"/>
  <c r="S196" i="5"/>
  <c r="K196" i="5"/>
  <c r="X195" i="5"/>
  <c r="V26" i="3"/>
  <c r="U183" i="5" s="1"/>
  <c r="O195" i="5"/>
  <c r="O197" i="5" s="1"/>
  <c r="O207" i="5" s="1"/>
  <c r="R200" i="5"/>
  <c r="O200" i="5"/>
  <c r="S195" i="5"/>
  <c r="L189" i="5"/>
  <c r="L195" i="5" s="1"/>
  <c r="AA37" i="2"/>
  <c r="AA38" i="2" s="1"/>
  <c r="AA39" i="2" s="1"/>
  <c r="AA41" i="2" s="1"/>
  <c r="AA45" i="2" s="1"/>
  <c r="W37" i="2"/>
  <c r="W66" i="2" s="1"/>
  <c r="Y37" i="2"/>
  <c r="Y66" i="2" s="1"/>
  <c r="Y199" i="5"/>
  <c r="AA189" i="5"/>
  <c r="AA195" i="5" s="1"/>
  <c r="T26" i="3"/>
  <c r="S199" i="5" s="1"/>
  <c r="S201" i="5" s="1"/>
  <c r="S214" i="5" s="1"/>
  <c r="AA26" i="3"/>
  <c r="U26" i="3"/>
  <c r="T183" i="5" s="1"/>
  <c r="AO26" i="3"/>
  <c r="W189" i="5"/>
  <c r="W195" i="5" s="1"/>
  <c r="D37" i="2"/>
  <c r="D38" i="2" s="1"/>
  <c r="D39" i="2" s="1"/>
  <c r="D41" i="2" s="1"/>
  <c r="D45" i="2" s="1"/>
  <c r="AE26" i="3"/>
  <c r="W26" i="3"/>
  <c r="V183" i="5" s="1"/>
  <c r="F26" i="3"/>
  <c r="E183" i="5" s="1"/>
  <c r="H26" i="3"/>
  <c r="G183" i="5" s="1"/>
  <c r="V189" i="5"/>
  <c r="V195" i="5" s="1"/>
  <c r="L26" i="3"/>
  <c r="K183" i="5" s="1"/>
  <c r="D189" i="5"/>
  <c r="D199" i="5" s="1"/>
  <c r="K37" i="2"/>
  <c r="R38" i="2"/>
  <c r="R39" i="2" s="1"/>
  <c r="R41" i="2" s="1"/>
  <c r="R45" i="2" s="1"/>
  <c r="D137" i="5"/>
  <c r="E137" i="5" s="1"/>
  <c r="F137" i="5" s="1"/>
  <c r="G137" i="5" s="1"/>
  <c r="H137" i="5" s="1"/>
  <c r="I137" i="5" s="1"/>
  <c r="J137" i="5" s="1"/>
  <c r="K137" i="5" s="1"/>
  <c r="L137" i="5" s="1"/>
  <c r="M137" i="5" s="1"/>
  <c r="H113" i="5"/>
  <c r="C128" i="5"/>
  <c r="X196" i="5"/>
  <c r="X197" i="5" s="1"/>
  <c r="X207" i="5" s="1"/>
  <c r="X199" i="5"/>
  <c r="X201" i="5" s="1"/>
  <c r="X214" i="5" s="1"/>
  <c r="R199" i="5"/>
  <c r="AA66" i="2"/>
  <c r="Z66" i="2"/>
  <c r="Z38" i="2"/>
  <c r="Z39" i="2" s="1"/>
  <c r="Z41" i="2" s="1"/>
  <c r="Z45" i="2" s="1"/>
  <c r="X66" i="2"/>
  <c r="X38" i="2"/>
  <c r="X39" i="2" s="1"/>
  <c r="X41" i="2" s="1"/>
  <c r="X45" i="2" s="1"/>
  <c r="AB66" i="2"/>
  <c r="AB38" i="2"/>
  <c r="AB39" i="2" s="1"/>
  <c r="AB41" i="2" s="1"/>
  <c r="AB45" i="2" s="1"/>
  <c r="G199" i="5"/>
  <c r="G200" i="5"/>
  <c r="G196" i="5"/>
  <c r="G197" i="5" s="1"/>
  <c r="G207" i="5" s="1"/>
  <c r="S183" i="5"/>
  <c r="I196" i="5"/>
  <c r="I197" i="5" s="1"/>
  <c r="I207" i="5" s="1"/>
  <c r="I199" i="5"/>
  <c r="T199" i="5"/>
  <c r="T201" i="5" s="1"/>
  <c r="T214" i="5" s="1"/>
  <c r="F199" i="5"/>
  <c r="Y200" i="5"/>
  <c r="E200" i="5"/>
  <c r="E196" i="5"/>
  <c r="E197" i="5" s="1"/>
  <c r="E207" i="5" s="1"/>
  <c r="H200" i="5"/>
  <c r="T66" i="2"/>
  <c r="T83" i="2" s="1"/>
  <c r="H196" i="5"/>
  <c r="H197" i="5" s="1"/>
  <c r="H207" i="5" s="1"/>
  <c r="O199" i="5"/>
  <c r="P38" i="2"/>
  <c r="P39" i="2" s="1"/>
  <c r="P41" i="2" s="1"/>
  <c r="P45" i="2" s="1"/>
  <c r="P200" i="5"/>
  <c r="I38" i="2"/>
  <c r="I39" i="2" s="1"/>
  <c r="I41" i="2" s="1"/>
  <c r="I45" i="2" s="1"/>
  <c r="P196" i="5"/>
  <c r="P197" i="5" s="1"/>
  <c r="P207" i="5" s="1"/>
  <c r="J38" i="2"/>
  <c r="J39" i="2" s="1"/>
  <c r="J41" i="2" s="1"/>
  <c r="J45" i="2" s="1"/>
  <c r="I200" i="5"/>
  <c r="Z199" i="5"/>
  <c r="Z201" i="5" s="1"/>
  <c r="Z214" i="5" s="1"/>
  <c r="Z195" i="5"/>
  <c r="Z196" i="5"/>
  <c r="J200" i="5"/>
  <c r="U196" i="5"/>
  <c r="P199" i="5"/>
  <c r="J196" i="5"/>
  <c r="J197" i="5" s="1"/>
  <c r="J207" i="5" s="1"/>
  <c r="U195" i="5"/>
  <c r="J199" i="5"/>
  <c r="O38" i="2"/>
  <c r="O39" i="2" s="1"/>
  <c r="O41" i="2" s="1"/>
  <c r="O45" i="2" s="1"/>
  <c r="S66" i="2"/>
  <c r="S67" i="2" s="1"/>
  <c r="S70" i="2" s="1"/>
  <c r="S72" i="2" s="1"/>
  <c r="S76" i="2" s="1"/>
  <c r="F200" i="5"/>
  <c r="H199" i="5"/>
  <c r="F196" i="5"/>
  <c r="Y196" i="5"/>
  <c r="Y195" i="5"/>
  <c r="F195" i="5"/>
  <c r="N38" i="2"/>
  <c r="N39" i="2" s="1"/>
  <c r="N41" i="2" s="1"/>
  <c r="N45" i="2" s="1"/>
  <c r="N200" i="5"/>
  <c r="N196" i="5"/>
  <c r="N197" i="5" s="1"/>
  <c r="N207" i="5" s="1"/>
  <c r="U199" i="5"/>
  <c r="U201" i="5" s="1"/>
  <c r="U214" i="5" s="1"/>
  <c r="N199" i="5"/>
  <c r="Q200" i="5"/>
  <c r="Q199" i="5"/>
  <c r="Q196" i="5"/>
  <c r="Q197" i="5" s="1"/>
  <c r="Q207" i="5" s="1"/>
  <c r="M197" i="5"/>
  <c r="M207" i="5" s="1"/>
  <c r="T197" i="5"/>
  <c r="T207" i="5" s="1"/>
  <c r="F83" i="2"/>
  <c r="F85" i="2" s="1"/>
  <c r="F88" i="2" s="1"/>
  <c r="F90" i="2" s="1"/>
  <c r="F94" i="2" s="1"/>
  <c r="F100" i="2"/>
  <c r="F102" i="2" s="1"/>
  <c r="F106" i="2" s="1"/>
  <c r="F67" i="2"/>
  <c r="F70" i="2" s="1"/>
  <c r="F72" i="2" s="1"/>
  <c r="F76" i="2" s="1"/>
  <c r="E83" i="2"/>
  <c r="E85" i="2" s="1"/>
  <c r="E88" i="2" s="1"/>
  <c r="E90" i="2" s="1"/>
  <c r="E94" i="2" s="1"/>
  <c r="E100" i="2"/>
  <c r="E102" i="2" s="1"/>
  <c r="E106" i="2" s="1"/>
  <c r="E67" i="2"/>
  <c r="E70" i="2" s="1"/>
  <c r="E72" i="2" s="1"/>
  <c r="E76" i="2" s="1"/>
  <c r="P83" i="2"/>
  <c r="P100" i="2"/>
  <c r="P102" i="2" s="1"/>
  <c r="P106" i="2" s="1"/>
  <c r="P67" i="2"/>
  <c r="P70" i="2" s="1"/>
  <c r="P72" i="2" s="1"/>
  <c r="P76" i="2" s="1"/>
  <c r="J83" i="2"/>
  <c r="J100" i="2"/>
  <c r="J102" i="2" s="1"/>
  <c r="J106" i="2" s="1"/>
  <c r="J67" i="2"/>
  <c r="J70" i="2" s="1"/>
  <c r="J72" i="2" s="1"/>
  <c r="J76" i="2" s="1"/>
  <c r="R83" i="2"/>
  <c r="R100" i="2"/>
  <c r="R102" i="2" s="1"/>
  <c r="R106" i="2" s="1"/>
  <c r="R67" i="2"/>
  <c r="R70" i="2" s="1"/>
  <c r="R72" i="2" s="1"/>
  <c r="R76" i="2" s="1"/>
  <c r="H83" i="2"/>
  <c r="H85" i="2" s="1"/>
  <c r="H88" i="2" s="1"/>
  <c r="H90" i="2" s="1"/>
  <c r="H94" i="2" s="1"/>
  <c r="H100" i="2"/>
  <c r="H102" i="2" s="1"/>
  <c r="H106" i="2" s="1"/>
  <c r="H67" i="2"/>
  <c r="H70" i="2" s="1"/>
  <c r="H72" i="2" s="1"/>
  <c r="H76" i="2" s="1"/>
  <c r="S197" i="5"/>
  <c r="S207" i="5" s="1"/>
  <c r="U83" i="2"/>
  <c r="U100" i="2"/>
  <c r="U102" i="2" s="1"/>
  <c r="U106" i="2" s="1"/>
  <c r="U67" i="2"/>
  <c r="U70" i="2" s="1"/>
  <c r="U72" i="2" s="1"/>
  <c r="U76" i="2" s="1"/>
  <c r="Q83" i="2"/>
  <c r="Q100" i="2"/>
  <c r="Q102" i="2" s="1"/>
  <c r="Q106" i="2" s="1"/>
  <c r="Q67" i="2"/>
  <c r="Q70" i="2" s="1"/>
  <c r="Q72" i="2" s="1"/>
  <c r="Q76" i="2" s="1"/>
  <c r="G83" i="2"/>
  <c r="G85" i="2" s="1"/>
  <c r="G88" i="2" s="1"/>
  <c r="G90" i="2" s="1"/>
  <c r="G94" i="2" s="1"/>
  <c r="G100" i="2"/>
  <c r="G102" i="2" s="1"/>
  <c r="G106" i="2" s="1"/>
  <c r="G67" i="2"/>
  <c r="G70" i="2" s="1"/>
  <c r="G72" i="2" s="1"/>
  <c r="G76" i="2" s="1"/>
  <c r="W83" i="2"/>
  <c r="W100" i="2"/>
  <c r="W102" i="2" s="1"/>
  <c r="W106" i="2" s="1"/>
  <c r="W67" i="2"/>
  <c r="W70" i="2" s="1"/>
  <c r="W72" i="2" s="1"/>
  <c r="W76" i="2" s="1"/>
  <c r="L83" i="2"/>
  <c r="L100" i="2"/>
  <c r="L102" i="2" s="1"/>
  <c r="L106" i="2" s="1"/>
  <c r="L67" i="2"/>
  <c r="L70" i="2" s="1"/>
  <c r="L72" i="2" s="1"/>
  <c r="L76" i="2" s="1"/>
  <c r="V83" i="2"/>
  <c r="V100" i="2"/>
  <c r="V102" i="2" s="1"/>
  <c r="V106" i="2" s="1"/>
  <c r="V67" i="2"/>
  <c r="V70" i="2" s="1"/>
  <c r="V72" i="2" s="1"/>
  <c r="V76" i="2" s="1"/>
  <c r="O100" i="2"/>
  <c r="O102" i="2" s="1"/>
  <c r="O106" i="2" s="1"/>
  <c r="O67" i="2"/>
  <c r="O70" i="2" s="1"/>
  <c r="O72" i="2" s="1"/>
  <c r="O76" i="2" s="1"/>
  <c r="O83" i="2"/>
  <c r="M67" i="2"/>
  <c r="M70" i="2" s="1"/>
  <c r="M72" i="2" s="1"/>
  <c r="M76" i="2" s="1"/>
  <c r="M83" i="2"/>
  <c r="M100" i="2"/>
  <c r="M102" i="2" s="1"/>
  <c r="M106" i="2" s="1"/>
  <c r="M201" i="5"/>
  <c r="M214" i="5" s="1"/>
  <c r="N67" i="2"/>
  <c r="N70" i="2" s="1"/>
  <c r="N72" i="2" s="1"/>
  <c r="N76" i="2" s="1"/>
  <c r="N83" i="2"/>
  <c r="N100" i="2"/>
  <c r="N102" i="2" s="1"/>
  <c r="N106" i="2" s="1"/>
  <c r="K197" i="5"/>
  <c r="K207" i="5" s="1"/>
  <c r="I83" i="2"/>
  <c r="I85" i="2" s="1"/>
  <c r="I88" i="2" s="1"/>
  <c r="I90" i="2" s="1"/>
  <c r="I94" i="2" s="1"/>
  <c r="I100" i="2"/>
  <c r="I102" i="2" s="1"/>
  <c r="I106" i="2" s="1"/>
  <c r="I67" i="2"/>
  <c r="I70" i="2" s="1"/>
  <c r="I72" i="2" s="1"/>
  <c r="I76" i="2" s="1"/>
  <c r="R197" i="5"/>
  <c r="R207" i="5" s="1"/>
  <c r="AB197" i="5" l="1"/>
  <c r="Y38" i="2"/>
  <c r="Y39" i="2" s="1"/>
  <c r="Y41" i="2" s="1"/>
  <c r="Y45" i="2" s="1"/>
  <c r="W38" i="2"/>
  <c r="W39" i="2" s="1"/>
  <c r="W41" i="2" s="1"/>
  <c r="W45" i="2" s="1"/>
  <c r="L38" i="2"/>
  <c r="L39" i="2" s="1"/>
  <c r="L41" i="2" s="1"/>
  <c r="L45" i="2" s="1"/>
  <c r="Y201" i="5"/>
  <c r="Y214" i="5" s="1"/>
  <c r="R201" i="5"/>
  <c r="R214" i="5" s="1"/>
  <c r="E199" i="5"/>
  <c r="E201" i="5" s="1"/>
  <c r="E214" i="5" s="1"/>
  <c r="D66" i="2"/>
  <c r="D83" i="2" s="1"/>
  <c r="D85" i="2" s="1"/>
  <c r="D88" i="2" s="1"/>
  <c r="D90" i="2" s="1"/>
  <c r="D94" i="2" s="1"/>
  <c r="O201" i="5"/>
  <c r="O214" i="5" s="1"/>
  <c r="L200" i="5"/>
  <c r="AA196" i="5"/>
  <c r="AA197" i="5" s="1"/>
  <c r="AA207" i="5" s="1"/>
  <c r="AA200" i="5"/>
  <c r="AA199" i="5"/>
  <c r="D195" i="5"/>
  <c r="D200" i="5"/>
  <c r="D201" i="5" s="1"/>
  <c r="D214" i="5" s="1"/>
  <c r="L196" i="5"/>
  <c r="L197" i="5" s="1"/>
  <c r="L207" i="5" s="1"/>
  <c r="L199" i="5"/>
  <c r="K199" i="5"/>
  <c r="K201" i="5" s="1"/>
  <c r="K214" i="5" s="1"/>
  <c r="P201" i="5"/>
  <c r="P214" i="5" s="1"/>
  <c r="W200" i="5"/>
  <c r="D196" i="5"/>
  <c r="W196" i="5"/>
  <c r="W197" i="5" s="1"/>
  <c r="W207" i="5" s="1"/>
  <c r="W199" i="5"/>
  <c r="AB207" i="5"/>
  <c r="V200" i="5"/>
  <c r="V199" i="5"/>
  <c r="V196" i="5"/>
  <c r="V197" i="5" s="1"/>
  <c r="V207" i="5" s="1"/>
  <c r="K38" i="2"/>
  <c r="K39" i="2" s="1"/>
  <c r="K41" i="2" s="1"/>
  <c r="K45" i="2" s="1"/>
  <c r="K66" i="2"/>
  <c r="C105" i="5"/>
  <c r="I113" i="5"/>
  <c r="S100" i="2"/>
  <c r="S102" i="2" s="1"/>
  <c r="S106" i="2" s="1"/>
  <c r="H201" i="5"/>
  <c r="H214" i="5" s="1"/>
  <c r="C47" i="2"/>
  <c r="AB67" i="2"/>
  <c r="AB70" i="2" s="1"/>
  <c r="AB72" i="2" s="1"/>
  <c r="AB76" i="2" s="1"/>
  <c r="AB83" i="2"/>
  <c r="AB100" i="2"/>
  <c r="AB102" i="2" s="1"/>
  <c r="AB106" i="2" s="1"/>
  <c r="X100" i="2"/>
  <c r="X102" i="2" s="1"/>
  <c r="X106" i="2" s="1"/>
  <c r="X67" i="2"/>
  <c r="X70" i="2" s="1"/>
  <c r="X72" i="2" s="1"/>
  <c r="X76" i="2" s="1"/>
  <c r="X83" i="2"/>
  <c r="Y67" i="2"/>
  <c r="Y70" i="2" s="1"/>
  <c r="Y72" i="2" s="1"/>
  <c r="Y76" i="2" s="1"/>
  <c r="Y83" i="2"/>
  <c r="Y100" i="2"/>
  <c r="Y102" i="2" s="1"/>
  <c r="Y106" i="2" s="1"/>
  <c r="Z67" i="2"/>
  <c r="Z70" i="2" s="1"/>
  <c r="Z72" i="2" s="1"/>
  <c r="Z76" i="2" s="1"/>
  <c r="Z83" i="2"/>
  <c r="Z100" i="2"/>
  <c r="Z102" i="2" s="1"/>
  <c r="Z106" i="2" s="1"/>
  <c r="AA100" i="2"/>
  <c r="AA102" i="2" s="1"/>
  <c r="AA106" i="2" s="1"/>
  <c r="AA67" i="2"/>
  <c r="AA70" i="2" s="1"/>
  <c r="AA72" i="2" s="1"/>
  <c r="AA76" i="2" s="1"/>
  <c r="AA83" i="2"/>
  <c r="G201" i="5"/>
  <c r="G214" i="5" s="1"/>
  <c r="J201" i="5"/>
  <c r="J214" i="5" s="1"/>
  <c r="I201" i="5"/>
  <c r="I214" i="5" s="1"/>
  <c r="S83" i="2"/>
  <c r="F201" i="5"/>
  <c r="F214" i="5" s="1"/>
  <c r="T100" i="2"/>
  <c r="T102" i="2" s="1"/>
  <c r="T106" i="2" s="1"/>
  <c r="T67" i="2"/>
  <c r="T70" i="2" s="1"/>
  <c r="T72" i="2" s="1"/>
  <c r="T76" i="2" s="1"/>
  <c r="Y197" i="5"/>
  <c r="Y207" i="5" s="1"/>
  <c r="Z197" i="5"/>
  <c r="Z207" i="5" s="1"/>
  <c r="F197" i="5"/>
  <c r="F207" i="5" s="1"/>
  <c r="U197" i="5"/>
  <c r="U207" i="5" s="1"/>
  <c r="Q201" i="5"/>
  <c r="Q214" i="5" s="1"/>
  <c r="N201" i="5"/>
  <c r="N214" i="5" s="1"/>
  <c r="D84" i="2"/>
  <c r="E84" i="2" s="1"/>
  <c r="F84" i="2" s="1"/>
  <c r="G84" i="2" s="1"/>
  <c r="H84" i="2" s="1"/>
  <c r="I84" i="2" s="1"/>
  <c r="J84" i="2" s="1"/>
  <c r="D100" i="2" l="1"/>
  <c r="D102" i="2" s="1"/>
  <c r="D106" i="2" s="1"/>
  <c r="D67" i="2"/>
  <c r="D70" i="2" s="1"/>
  <c r="D72" i="2" s="1"/>
  <c r="D76" i="2" s="1"/>
  <c r="L201" i="5"/>
  <c r="L214" i="5" s="1"/>
  <c r="AA201" i="5"/>
  <c r="AA214" i="5" s="1"/>
  <c r="AB214" i="5"/>
  <c r="D197" i="5"/>
  <c r="D207" i="5" s="1"/>
  <c r="W201" i="5"/>
  <c r="W214" i="5" s="1"/>
  <c r="V201" i="5"/>
  <c r="V214" i="5" s="1"/>
  <c r="K83" i="2"/>
  <c r="K85" i="2" s="1"/>
  <c r="K88" i="2" s="1"/>
  <c r="K90" i="2" s="1"/>
  <c r="K94" i="2" s="1"/>
  <c r="K100" i="2"/>
  <c r="K102" i="2" s="1"/>
  <c r="K106" i="2" s="1"/>
  <c r="C108" i="2" s="1"/>
  <c r="K67" i="2"/>
  <c r="K70" i="2" s="1"/>
  <c r="K72" i="2" s="1"/>
  <c r="K76" i="2" s="1"/>
  <c r="C78" i="2" s="1"/>
  <c r="J113" i="5"/>
  <c r="C106" i="5"/>
  <c r="J85" i="2"/>
  <c r="J88" i="2" s="1"/>
  <c r="J90" i="2" s="1"/>
  <c r="J94" i="2" s="1"/>
  <c r="K84" i="2" l="1"/>
  <c r="L84" i="2" s="1"/>
  <c r="M84" i="2" s="1"/>
  <c r="N84" i="2" s="1"/>
  <c r="O84" i="2" s="1"/>
  <c r="P84" i="2" s="1"/>
  <c r="Q84" i="2" s="1"/>
  <c r="R84" i="2" s="1"/>
  <c r="S85" i="2" s="1"/>
  <c r="S88" i="2" s="1"/>
  <c r="S90" i="2" s="1"/>
  <c r="S94" i="2" s="1"/>
  <c r="P85" i="2"/>
  <c r="P88" i="2" s="1"/>
  <c r="P90" i="2" s="1"/>
  <c r="P94" i="2" s="1"/>
  <c r="L85" i="2"/>
  <c r="L88" i="2" s="1"/>
  <c r="L90" i="2" s="1"/>
  <c r="L94" i="2" s="1"/>
  <c r="Q85" i="2"/>
  <c r="Q88" i="2" s="1"/>
  <c r="Q90" i="2" s="1"/>
  <c r="Q94" i="2" s="1"/>
  <c r="N85" i="2"/>
  <c r="N88" i="2" s="1"/>
  <c r="N90" i="2" s="1"/>
  <c r="N94" i="2" s="1"/>
  <c r="K113" i="5"/>
  <c r="C130" i="5"/>
  <c r="C131" i="5" s="1"/>
  <c r="C107" i="5"/>
  <c r="C108" i="5" s="1"/>
  <c r="O85" i="2" l="1"/>
  <c r="O88" i="2" s="1"/>
  <c r="O90" i="2" s="1"/>
  <c r="O94" i="2" s="1"/>
  <c r="M85" i="2"/>
  <c r="M88" i="2" s="1"/>
  <c r="M90" i="2" s="1"/>
  <c r="M94" i="2" s="1"/>
  <c r="R85" i="2"/>
  <c r="R88" i="2" s="1"/>
  <c r="R90" i="2" s="1"/>
  <c r="R94" i="2" s="1"/>
  <c r="S84" i="2"/>
  <c r="C149" i="5"/>
  <c r="C151" i="5" s="1"/>
  <c r="C152" i="5" s="1"/>
  <c r="C153" i="5"/>
  <c r="C154" i="5" s="1"/>
  <c r="C132" i="5"/>
  <c r="L113" i="5"/>
  <c r="T84" i="2" l="1"/>
  <c r="T85" i="2"/>
  <c r="T88" i="2" s="1"/>
  <c r="T90" i="2" s="1"/>
  <c r="T94" i="2" s="1"/>
  <c r="C155" i="5"/>
  <c r="M113" i="5"/>
  <c r="C167" i="5"/>
  <c r="C169" i="5" s="1"/>
  <c r="C171" i="5"/>
  <c r="C172" i="5" s="1"/>
  <c r="U84" i="2" l="1"/>
  <c r="U85" i="2"/>
  <c r="U88" i="2" s="1"/>
  <c r="U90" i="2" s="1"/>
  <c r="U94" i="2" s="1"/>
  <c r="C110" i="5"/>
  <c r="D99" i="5" s="1"/>
  <c r="C170" i="5"/>
  <c r="V84" i="2" l="1"/>
  <c r="V85" i="2"/>
  <c r="V88" i="2" s="1"/>
  <c r="V90" i="2" s="1"/>
  <c r="V94" i="2" s="1"/>
  <c r="D103" i="5"/>
  <c r="D104" i="5" s="1"/>
  <c r="D129" i="5" s="1"/>
  <c r="C173" i="5"/>
  <c r="C134" i="5"/>
  <c r="D123" i="5" s="1"/>
  <c r="D127" i="5" s="1"/>
  <c r="W84" i="2" l="1"/>
  <c r="W85" i="2"/>
  <c r="W88" i="2" s="1"/>
  <c r="W90" i="2" s="1"/>
  <c r="W94" i="2" s="1"/>
  <c r="D128" i="5"/>
  <c r="C174" i="5"/>
  <c r="C177" i="5" s="1"/>
  <c r="D164" i="5" s="1"/>
  <c r="C156" i="5"/>
  <c r="C159" i="5" s="1"/>
  <c r="X84" i="2" l="1"/>
  <c r="X85" i="2"/>
  <c r="X88" i="2" s="1"/>
  <c r="X90" i="2" s="1"/>
  <c r="X94" i="2" s="1"/>
  <c r="D105" i="5"/>
  <c r="D146" i="5"/>
  <c r="D106" i="5"/>
  <c r="D130" i="5" s="1"/>
  <c r="D131" i="5" s="1"/>
  <c r="D132" i="5" s="1"/>
  <c r="Y84" i="2" l="1"/>
  <c r="Y85" i="2"/>
  <c r="Y88" i="2" s="1"/>
  <c r="Y90" i="2" s="1"/>
  <c r="Y94" i="2" s="1"/>
  <c r="D167" i="5"/>
  <c r="D169" i="5" s="1"/>
  <c r="D170" i="5" s="1"/>
  <c r="D171" i="5"/>
  <c r="D172" i="5" s="1"/>
  <c r="D107" i="5"/>
  <c r="Z84" i="2" l="1"/>
  <c r="Z85" i="2"/>
  <c r="Z88" i="2" s="1"/>
  <c r="Z90" i="2" s="1"/>
  <c r="Z94" i="2" s="1"/>
  <c r="D173" i="5"/>
  <c r="D108" i="5"/>
  <c r="D149" i="5"/>
  <c r="D151" i="5" s="1"/>
  <c r="D152" i="5" s="1"/>
  <c r="D155" i="5" s="1"/>
  <c r="D153" i="5"/>
  <c r="D154" i="5" s="1"/>
  <c r="AA84" i="2" l="1"/>
  <c r="AA85" i="2"/>
  <c r="AA88" i="2" s="1"/>
  <c r="AA90" i="2" s="1"/>
  <c r="AA94" i="2" s="1"/>
  <c r="D204" i="5"/>
  <c r="D110" i="5"/>
  <c r="AB84" i="2" l="1"/>
  <c r="AB85" i="2"/>
  <c r="AB88" i="2" s="1"/>
  <c r="AB90" i="2" s="1"/>
  <c r="AB94" i="2" s="1"/>
  <c r="C96" i="2" s="1"/>
  <c r="E99" i="5"/>
  <c r="D116" i="5"/>
  <c r="E103" i="5"/>
  <c r="E104" i="5" s="1"/>
  <c r="E129" i="5" s="1"/>
  <c r="D156" i="5"/>
  <c r="D205" i="5" s="1"/>
  <c r="D157" i="5"/>
  <c r="D206" i="5" s="1"/>
  <c r="D159" i="5" l="1"/>
  <c r="D208" i="5"/>
  <c r="D218" i="5" s="1"/>
  <c r="D219" i="5" s="1"/>
  <c r="D221" i="5" s="1"/>
  <c r="D122" i="2" l="1"/>
  <c r="D229" i="5"/>
  <c r="D160" i="5"/>
  <c r="E146" i="5"/>
  <c r="D134" i="5" l="1"/>
  <c r="E123" i="5" s="1"/>
  <c r="E127" i="5" s="1"/>
  <c r="E128" i="5" l="1"/>
  <c r="D140" i="5"/>
  <c r="E105" i="5" l="1"/>
  <c r="E106" i="5" l="1"/>
  <c r="E130" i="5" s="1"/>
  <c r="E131" i="5" s="1"/>
  <c r="E132" i="5" s="1"/>
  <c r="E171" i="5" l="1"/>
  <c r="E167" i="5"/>
  <c r="E107" i="5"/>
  <c r="E134" i="5"/>
  <c r="E172" i="5" l="1"/>
  <c r="E108" i="5"/>
  <c r="E110" i="5" s="1"/>
  <c r="F99" i="5" s="1"/>
  <c r="E149" i="5"/>
  <c r="E153" i="5"/>
  <c r="E154" i="5" s="1"/>
  <c r="F123" i="5"/>
  <c r="F127" i="5" s="1"/>
  <c r="E140" i="5"/>
  <c r="E116" i="5" l="1"/>
  <c r="E151" i="5"/>
  <c r="E152" i="5" s="1"/>
  <c r="E155" i="5" s="1"/>
  <c r="F128" i="5"/>
  <c r="E204" i="5"/>
  <c r="F103" i="5"/>
  <c r="E157" i="5" l="1"/>
  <c r="E206" i="5" s="1"/>
  <c r="E156" i="5"/>
  <c r="F105" i="5"/>
  <c r="F104" i="5"/>
  <c r="F129" i="5" s="1"/>
  <c r="E160" i="5" l="1"/>
  <c r="E205" i="5"/>
  <c r="E208" i="5" s="1"/>
  <c r="E218" i="5" s="1"/>
  <c r="E219" i="5" s="1"/>
  <c r="E221" i="5" s="1"/>
  <c r="E122" i="2" s="1"/>
  <c r="E159" i="5"/>
  <c r="F146" i="5" s="1"/>
  <c r="F106" i="5"/>
  <c r="F130" i="5" s="1"/>
  <c r="F131" i="5" s="1"/>
  <c r="F132" i="5" s="1"/>
  <c r="E229" i="5" l="1"/>
  <c r="F107" i="5"/>
  <c r="F167" i="5" l="1"/>
  <c r="F171" i="5"/>
  <c r="F172" i="5" s="1"/>
  <c r="F149" i="5"/>
  <c r="F153" i="5"/>
  <c r="F154" i="5" s="1"/>
  <c r="F134" i="5"/>
  <c r="F108" i="5"/>
  <c r="F110" i="5" s="1"/>
  <c r="F151" i="5" l="1"/>
  <c r="F152" i="5" s="1"/>
  <c r="F155" i="5" s="1"/>
  <c r="F116" i="5"/>
  <c r="G99" i="5"/>
  <c r="G123" i="5"/>
  <c r="G127" i="5" s="1"/>
  <c r="F140" i="5"/>
  <c r="F204" i="5"/>
  <c r="G128" i="5" l="1"/>
  <c r="G103" i="5"/>
  <c r="F156" i="5"/>
  <c r="F157" i="5"/>
  <c r="F206" i="5" s="1"/>
  <c r="F159" i="5" l="1"/>
  <c r="G146" i="5" s="1"/>
  <c r="F160" i="5"/>
  <c r="F205" i="5"/>
  <c r="F208" i="5" s="1"/>
  <c r="G105" i="5"/>
  <c r="G104" i="5"/>
  <c r="G129" i="5" s="1"/>
  <c r="F218" i="5" l="1"/>
  <c r="F219" i="5" s="1"/>
  <c r="F221" i="5" s="1"/>
  <c r="F122" i="2" s="1"/>
  <c r="F229" i="5"/>
  <c r="G106" i="5"/>
  <c r="G130" i="5" s="1"/>
  <c r="G131" i="5" s="1"/>
  <c r="G132" i="5" s="1"/>
  <c r="G107" i="5" l="1"/>
  <c r="G167" i="5" l="1"/>
  <c r="G171" i="5"/>
  <c r="G172" i="5" s="1"/>
  <c r="G149" i="5"/>
  <c r="G153" i="5"/>
  <c r="G108" i="5"/>
  <c r="G110" i="5" s="1"/>
  <c r="G134" i="5"/>
  <c r="G154" i="5" l="1"/>
  <c r="G204" i="5" s="1"/>
  <c r="G151" i="5"/>
  <c r="G152" i="5" s="1"/>
  <c r="G155" i="5" s="1"/>
  <c r="H123" i="5"/>
  <c r="H127" i="5" s="1"/>
  <c r="G140" i="5"/>
  <c r="G116" i="5"/>
  <c r="H99" i="5"/>
  <c r="H128" i="5" l="1"/>
  <c r="G156" i="5"/>
  <c r="G157" i="5"/>
  <c r="G206" i="5" s="1"/>
  <c r="H103" i="5"/>
  <c r="G159" i="5" l="1"/>
  <c r="H146" i="5" s="1"/>
  <c r="H105" i="5"/>
  <c r="H104" i="5"/>
  <c r="H129" i="5" s="1"/>
  <c r="G160" i="5"/>
  <c r="G205" i="5"/>
  <c r="G208" i="5" s="1"/>
  <c r="G218" i="5" l="1"/>
  <c r="G219" i="5" s="1"/>
  <c r="G221" i="5" s="1"/>
  <c r="G122" i="2" s="1"/>
  <c r="G229" i="5"/>
  <c r="H106" i="5"/>
  <c r="H130" i="5" s="1"/>
  <c r="H131" i="5" s="1"/>
  <c r="H132" i="5" s="1"/>
  <c r="H107" i="5" l="1"/>
  <c r="H167" i="5" l="1"/>
  <c r="H171" i="5"/>
  <c r="H172" i="5" s="1"/>
  <c r="H149" i="5"/>
  <c r="H153" i="5"/>
  <c r="H134" i="5"/>
  <c r="H108" i="5"/>
  <c r="H110" i="5" s="1"/>
  <c r="H151" i="5" l="1"/>
  <c r="H152" i="5" s="1"/>
  <c r="H154" i="5"/>
  <c r="H116" i="5"/>
  <c r="I99" i="5"/>
  <c r="H204" i="5"/>
  <c r="I123" i="5"/>
  <c r="I127" i="5" s="1"/>
  <c r="H140" i="5"/>
  <c r="H155" i="5" l="1"/>
  <c r="H156" i="5" s="1"/>
  <c r="I128" i="5"/>
  <c r="I103" i="5"/>
  <c r="H157" i="5" l="1"/>
  <c r="H206" i="5" s="1"/>
  <c r="H159" i="5"/>
  <c r="I146" i="5" s="1"/>
  <c r="I104" i="5"/>
  <c r="I129" i="5" s="1"/>
  <c r="I105" i="5"/>
  <c r="H205" i="5"/>
  <c r="H160" i="5" l="1"/>
  <c r="H208" i="5"/>
  <c r="H218" i="5" s="1"/>
  <c r="H219" i="5" s="1"/>
  <c r="H221" i="5" s="1"/>
  <c r="H122" i="2" s="1"/>
  <c r="I106" i="5"/>
  <c r="I130" i="5" s="1"/>
  <c r="I131" i="5" s="1"/>
  <c r="I132" i="5" s="1"/>
  <c r="H229" i="5" l="1"/>
  <c r="I107" i="5"/>
  <c r="I149" i="5" s="1"/>
  <c r="I167" i="5"/>
  <c r="I171" i="5"/>
  <c r="I134" i="5"/>
  <c r="I172" i="5" l="1"/>
  <c r="I153" i="5"/>
  <c r="I154" i="5" s="1"/>
  <c r="I204" i="5" s="1"/>
  <c r="I108" i="5"/>
  <c r="I110" i="5" s="1"/>
  <c r="I151" i="5"/>
  <c r="I152" i="5" s="1"/>
  <c r="I116" i="5"/>
  <c r="J99" i="5"/>
  <c r="J123" i="5"/>
  <c r="J127" i="5" s="1"/>
  <c r="I140" i="5"/>
  <c r="I155" i="5" l="1"/>
  <c r="I156" i="5" s="1"/>
  <c r="J128" i="5"/>
  <c r="J103" i="5"/>
  <c r="I157" i="5" l="1"/>
  <c r="I206" i="5" s="1"/>
  <c r="J104" i="5"/>
  <c r="J129" i="5" s="1"/>
  <c r="J105" i="5"/>
  <c r="I205" i="5"/>
  <c r="J106" i="5" l="1"/>
  <c r="J130" i="5" s="1"/>
  <c r="J131" i="5" s="1"/>
  <c r="J132" i="5" s="1"/>
  <c r="I160" i="5"/>
  <c r="I208" i="5"/>
  <c r="I218" i="5" s="1"/>
  <c r="I219" i="5" s="1"/>
  <c r="I221" i="5" s="1"/>
  <c r="I122" i="2" s="1"/>
  <c r="I159" i="5"/>
  <c r="J146" i="5" s="1"/>
  <c r="J107" i="5" l="1"/>
  <c r="J153" i="5" s="1"/>
  <c r="I229" i="5"/>
  <c r="J167" i="5"/>
  <c r="J171" i="5"/>
  <c r="J172" i="5" s="1"/>
  <c r="J134" i="5"/>
  <c r="J108" i="5"/>
  <c r="J110" i="5" s="1"/>
  <c r="J149" i="5" l="1"/>
  <c r="J151" i="5" s="1"/>
  <c r="J152" i="5" s="1"/>
  <c r="K99" i="5"/>
  <c r="J116" i="5"/>
  <c r="K123" i="5"/>
  <c r="K127" i="5" s="1"/>
  <c r="J140" i="5"/>
  <c r="J154" i="5" l="1"/>
  <c r="J204" i="5" s="1"/>
  <c r="K128" i="5"/>
  <c r="K103" i="5"/>
  <c r="J155" i="5" l="1"/>
  <c r="J156" i="5" s="1"/>
  <c r="J205" i="5" s="1"/>
  <c r="K104" i="5"/>
  <c r="K129" i="5" s="1"/>
  <c r="K105" i="5"/>
  <c r="J157" i="5" l="1"/>
  <c r="J206" i="5" s="1"/>
  <c r="J208" i="5" s="1"/>
  <c r="J160" i="5"/>
  <c r="J159" i="5"/>
  <c r="K146" i="5" s="1"/>
  <c r="K106" i="5"/>
  <c r="K130" i="5" s="1"/>
  <c r="K131" i="5" s="1"/>
  <c r="K132" i="5" s="1"/>
  <c r="J218" i="5" l="1"/>
  <c r="J219" i="5" s="1"/>
  <c r="J221" i="5" s="1"/>
  <c r="J122" i="2" s="1"/>
  <c r="J229" i="5"/>
  <c r="K167" i="5"/>
  <c r="K171" i="5"/>
  <c r="K107" i="5"/>
  <c r="K108" i="5" s="1"/>
  <c r="K110" i="5" s="1"/>
  <c r="K172" i="5" l="1"/>
  <c r="K149" i="5"/>
  <c r="K153" i="5"/>
  <c r="K154" i="5" s="1"/>
  <c r="K204" i="5" s="1"/>
  <c r="K134" i="5"/>
  <c r="K140" i="5" s="1"/>
  <c r="L99" i="5"/>
  <c r="K116" i="5"/>
  <c r="K151" i="5" l="1"/>
  <c r="K152" i="5" s="1"/>
  <c r="K155" i="5" s="1"/>
  <c r="L123" i="5"/>
  <c r="L127" i="5" s="1"/>
  <c r="L103" i="5"/>
  <c r="K156" i="5" l="1"/>
  <c r="K157" i="5"/>
  <c r="K206" i="5" s="1"/>
  <c r="L128" i="5"/>
  <c r="L104" i="5"/>
  <c r="L129" i="5" s="1"/>
  <c r="K159" i="5" l="1"/>
  <c r="L146" i="5" s="1"/>
  <c r="K160" i="5"/>
  <c r="K205" i="5"/>
  <c r="K208" i="5" s="1"/>
  <c r="L105" i="5"/>
  <c r="K218" i="5"/>
  <c r="K219" i="5" s="1"/>
  <c r="K221" i="5" s="1"/>
  <c r="K122" i="2" s="1"/>
  <c r="K229" i="5"/>
  <c r="L106" i="5"/>
  <c r="L130" i="5" s="1"/>
  <c r="L131" i="5" s="1"/>
  <c r="L132" i="5" s="1"/>
  <c r="L107" i="5" l="1"/>
  <c r="L167" i="5" l="1"/>
  <c r="L171" i="5"/>
  <c r="L149" i="5"/>
  <c r="L153" i="5"/>
  <c r="L108" i="5"/>
  <c r="L110" i="5" s="1"/>
  <c r="L134" i="5"/>
  <c r="L151" i="5" l="1"/>
  <c r="L152" i="5" s="1"/>
  <c r="L172" i="5"/>
  <c r="L154" i="5"/>
  <c r="L204" i="5" s="1"/>
  <c r="M123" i="5"/>
  <c r="M127" i="5" s="1"/>
  <c r="L140" i="5"/>
  <c r="M99" i="5"/>
  <c r="L116" i="5"/>
  <c r="L155" i="5" l="1"/>
  <c r="L156" i="5" s="1"/>
  <c r="M128" i="5"/>
  <c r="M103" i="5"/>
  <c r="L157" i="5" l="1"/>
  <c r="L206" i="5" s="1"/>
  <c r="L159" i="5"/>
  <c r="M146" i="5" s="1"/>
  <c r="M105" i="5"/>
  <c r="M104" i="5"/>
  <c r="M129" i="5" s="1"/>
  <c r="L160" i="5"/>
  <c r="L205" i="5"/>
  <c r="L208" i="5" s="1"/>
  <c r="M106" i="5" l="1"/>
  <c r="M130" i="5" s="1"/>
  <c r="M131" i="5" s="1"/>
  <c r="M132" i="5" s="1"/>
  <c r="L218" i="5"/>
  <c r="L219" i="5" s="1"/>
  <c r="L221" i="5" s="1"/>
  <c r="L122" i="2" s="1"/>
  <c r="L229" i="5"/>
  <c r="M107" i="5" l="1"/>
  <c r="M167" i="5" l="1"/>
  <c r="M171" i="5"/>
  <c r="M149" i="5"/>
  <c r="M153" i="5"/>
  <c r="M134" i="5"/>
  <c r="N123" i="5" s="1"/>
  <c r="N127" i="5" s="1"/>
  <c r="M108" i="5"/>
  <c r="M110" i="5" s="1"/>
  <c r="N99" i="5" s="1"/>
  <c r="M140" i="5" l="1"/>
  <c r="M154" i="5"/>
  <c r="M172" i="5"/>
  <c r="M151" i="5"/>
  <c r="M152" i="5" s="1"/>
  <c r="N128" i="5"/>
  <c r="M116" i="5"/>
  <c r="M204" i="5"/>
  <c r="N103" i="5"/>
  <c r="M155" i="5" l="1"/>
  <c r="M157" i="5" s="1"/>
  <c r="M206" i="5" s="1"/>
  <c r="N105" i="5"/>
  <c r="N104" i="5"/>
  <c r="N129" i="5" s="1"/>
  <c r="M156" i="5" l="1"/>
  <c r="M205" i="5" s="1"/>
  <c r="M208" i="5" s="1"/>
  <c r="M229" i="5" s="1"/>
  <c r="N106" i="5"/>
  <c r="N130" i="5" s="1"/>
  <c r="N131" i="5" s="1"/>
  <c r="N132" i="5" s="1"/>
  <c r="M218" i="5" l="1"/>
  <c r="M219" i="5" s="1"/>
  <c r="M221" i="5" s="1"/>
  <c r="M122" i="2" s="1"/>
  <c r="M159" i="5"/>
  <c r="N146" i="5" s="1"/>
  <c r="M160" i="5"/>
  <c r="N107" i="5"/>
  <c r="N167" i="5" l="1"/>
  <c r="N171" i="5"/>
  <c r="N172" i="5" s="1"/>
  <c r="N149" i="5"/>
  <c r="N153" i="5"/>
  <c r="N134" i="5"/>
  <c r="N108" i="5"/>
  <c r="N110" i="5" s="1"/>
  <c r="N154" i="5" l="1"/>
  <c r="N204" i="5" s="1"/>
  <c r="N151" i="5"/>
  <c r="N152" i="5" s="1"/>
  <c r="N116" i="5"/>
  <c r="O99" i="5"/>
  <c r="O123" i="5"/>
  <c r="O127" i="5" s="1"/>
  <c r="N140" i="5"/>
  <c r="N155" i="5" l="1"/>
  <c r="N157" i="5" s="1"/>
  <c r="N206" i="5" s="1"/>
  <c r="O128" i="5"/>
  <c r="O103" i="5"/>
  <c r="N156" i="5" l="1"/>
  <c r="N160" i="5" s="1"/>
  <c r="O104" i="5"/>
  <c r="O129" i="5" s="1"/>
  <c r="O105" i="5"/>
  <c r="N159" i="5" l="1"/>
  <c r="O146" i="5" s="1"/>
  <c r="N205" i="5"/>
  <c r="N208" i="5" s="1"/>
  <c r="N218" i="5" s="1"/>
  <c r="N219" i="5" s="1"/>
  <c r="N221" i="5" s="1"/>
  <c r="N122" i="2" s="1"/>
  <c r="O106" i="5"/>
  <c r="O130" i="5" s="1"/>
  <c r="O131" i="5" s="1"/>
  <c r="O132" i="5" s="1"/>
  <c r="N229" i="5" l="1"/>
  <c r="O107" i="5"/>
  <c r="O167" i="5" l="1"/>
  <c r="O171" i="5"/>
  <c r="O172" i="5" s="1"/>
  <c r="O149" i="5"/>
  <c r="O153" i="5"/>
  <c r="O154" i="5" s="1"/>
  <c r="O108" i="5"/>
  <c r="O110" i="5" s="1"/>
  <c r="O134" i="5"/>
  <c r="O151" i="5" l="1"/>
  <c r="O152" i="5" s="1"/>
  <c r="O155" i="5" s="1"/>
  <c r="P123" i="5"/>
  <c r="P127" i="5" s="1"/>
  <c r="O140" i="5"/>
  <c r="O116" i="5"/>
  <c r="P99" i="5"/>
  <c r="O204" i="5"/>
  <c r="P128" i="5" l="1"/>
  <c r="O156" i="5"/>
  <c r="O157" i="5"/>
  <c r="O206" i="5" s="1"/>
  <c r="P103" i="5"/>
  <c r="O159" i="5" l="1"/>
  <c r="P146" i="5" s="1"/>
  <c r="P104" i="5"/>
  <c r="P129" i="5" s="1"/>
  <c r="P105" i="5"/>
  <c r="O160" i="5"/>
  <c r="O205" i="5"/>
  <c r="O208" i="5" s="1"/>
  <c r="O218" i="5" l="1"/>
  <c r="O219" i="5" s="1"/>
  <c r="O221" i="5" s="1"/>
  <c r="O122" i="2" s="1"/>
  <c r="O229" i="5"/>
  <c r="P106" i="5"/>
  <c r="P130" i="5" s="1"/>
  <c r="P131" i="5" s="1"/>
  <c r="P132" i="5" s="1"/>
  <c r="P107" i="5" l="1"/>
  <c r="P167" i="5" l="1"/>
  <c r="P171" i="5"/>
  <c r="P149" i="5"/>
  <c r="P153" i="5"/>
  <c r="P154" i="5" s="1"/>
  <c r="P108" i="5"/>
  <c r="P110" i="5" s="1"/>
  <c r="P134" i="5"/>
  <c r="P172" i="5" l="1"/>
  <c r="P151" i="5"/>
  <c r="P152" i="5" s="1"/>
  <c r="P155" i="5" s="1"/>
  <c r="P116" i="5"/>
  <c r="Q99" i="5"/>
  <c r="Q123" i="5"/>
  <c r="Q127" i="5" s="1"/>
  <c r="P140" i="5"/>
  <c r="P204" i="5"/>
  <c r="Q128" i="5" l="1"/>
  <c r="P156" i="5"/>
  <c r="P157" i="5"/>
  <c r="P206" i="5" s="1"/>
  <c r="Q103" i="5"/>
  <c r="P159" i="5" l="1"/>
  <c r="Q146" i="5" s="1"/>
  <c r="Q105" i="5"/>
  <c r="P160" i="5"/>
  <c r="P205" i="5"/>
  <c r="P208" i="5" s="1"/>
  <c r="Q104" i="5"/>
  <c r="Q129" i="5" s="1"/>
  <c r="Q106" i="5" l="1"/>
  <c r="Q130" i="5" s="1"/>
  <c r="Q131" i="5" s="1"/>
  <c r="Q132" i="5" s="1"/>
  <c r="P218" i="5"/>
  <c r="P219" i="5" s="1"/>
  <c r="P221" i="5" s="1"/>
  <c r="P122" i="2" s="1"/>
  <c r="P229" i="5"/>
  <c r="Q107" i="5" l="1"/>
  <c r="Q167" i="5" l="1"/>
  <c r="Q171" i="5"/>
  <c r="Q149" i="5"/>
  <c r="Q153" i="5"/>
  <c r="Q108" i="5"/>
  <c r="Q110" i="5" s="1"/>
  <c r="R99" i="5" s="1"/>
  <c r="Q134" i="5"/>
  <c r="Q140" i="5" s="1"/>
  <c r="Q172" i="5" l="1"/>
  <c r="Q151" i="5"/>
  <c r="Q152" i="5" s="1"/>
  <c r="Q116" i="5"/>
  <c r="Q154" i="5"/>
  <c r="Q204" i="5" s="1"/>
  <c r="R123" i="5"/>
  <c r="R127" i="5" s="1"/>
  <c r="R103" i="5"/>
  <c r="Q155" i="5" l="1"/>
  <c r="Q156" i="5" s="1"/>
  <c r="Q205" i="5" s="1"/>
  <c r="R128" i="5"/>
  <c r="R105" i="5" s="1"/>
  <c r="R104" i="5"/>
  <c r="R129" i="5" s="1"/>
  <c r="Q157" i="5" l="1"/>
  <c r="Q206" i="5" s="1"/>
  <c r="Q208" i="5" s="1"/>
  <c r="R106" i="5"/>
  <c r="R130" i="5" s="1"/>
  <c r="R131" i="5" s="1"/>
  <c r="R132" i="5" s="1"/>
  <c r="Q229" i="5" l="1"/>
  <c r="Q218" i="5"/>
  <c r="Q219" i="5" s="1"/>
  <c r="Q221" i="5" s="1"/>
  <c r="Q122" i="2" s="1"/>
  <c r="Q159" i="5"/>
  <c r="R146" i="5" s="1"/>
  <c r="Q160" i="5"/>
  <c r="R167" i="5"/>
  <c r="R171" i="5"/>
  <c r="R172" i="5" s="1"/>
  <c r="R107" i="5"/>
  <c r="R149" i="5" l="1"/>
  <c r="R153" i="5"/>
  <c r="R108" i="5"/>
  <c r="R110" i="5" s="1"/>
  <c r="S99" i="5" s="1"/>
  <c r="R134" i="5"/>
  <c r="S123" i="5" s="1"/>
  <c r="S127" i="5" s="1"/>
  <c r="R116" i="5"/>
  <c r="R154" i="5" l="1"/>
  <c r="R204" i="5" s="1"/>
  <c r="R151" i="5"/>
  <c r="R152" i="5" s="1"/>
  <c r="S128" i="5"/>
  <c r="R140" i="5"/>
  <c r="S103" i="5"/>
  <c r="R155" i="5" l="1"/>
  <c r="R157" i="5" s="1"/>
  <c r="R206" i="5" s="1"/>
  <c r="S104" i="5"/>
  <c r="S129" i="5" s="1"/>
  <c r="S105" i="5"/>
  <c r="S106" i="5" s="1"/>
  <c r="S130" i="5" s="1"/>
  <c r="R156" i="5" l="1"/>
  <c r="S131" i="5"/>
  <c r="S132" i="5" s="1"/>
  <c r="S107" i="5"/>
  <c r="R160" i="5" l="1"/>
  <c r="R205" i="5"/>
  <c r="R208" i="5" s="1"/>
  <c r="R159" i="5"/>
  <c r="S146" i="5" s="1"/>
  <c r="S167" i="5"/>
  <c r="S171" i="5"/>
  <c r="S172" i="5" s="1"/>
  <c r="S149" i="5"/>
  <c r="S153" i="5"/>
  <c r="S154" i="5" s="1"/>
  <c r="S134" i="5"/>
  <c r="S108" i="5"/>
  <c r="S110" i="5" s="1"/>
  <c r="R218" i="5" l="1"/>
  <c r="R219" i="5" s="1"/>
  <c r="R221" i="5" s="1"/>
  <c r="R122" i="2" s="1"/>
  <c r="R229" i="5"/>
  <c r="S151" i="5"/>
  <c r="S152" i="5" s="1"/>
  <c r="S155" i="5" s="1"/>
  <c r="S204" i="5"/>
  <c r="T123" i="5"/>
  <c r="T127" i="5" s="1"/>
  <c r="S140" i="5"/>
  <c r="T99" i="5"/>
  <c r="S116" i="5"/>
  <c r="T128" i="5" l="1"/>
  <c r="S156" i="5"/>
  <c r="S157" i="5"/>
  <c r="S206" i="5" s="1"/>
  <c r="T103" i="5"/>
  <c r="S159" i="5" l="1"/>
  <c r="T146" i="5" s="1"/>
  <c r="T105" i="5"/>
  <c r="T104" i="5"/>
  <c r="T129" i="5" s="1"/>
  <c r="S160" i="5"/>
  <c r="S205" i="5"/>
  <c r="S208" i="5" s="1"/>
  <c r="S218" i="5" l="1"/>
  <c r="S219" i="5" s="1"/>
  <c r="S221" i="5" s="1"/>
  <c r="S122" i="2" s="1"/>
  <c r="S229" i="5"/>
  <c r="T106" i="5"/>
  <c r="T130" i="5" s="1"/>
  <c r="T131" i="5" s="1"/>
  <c r="T132" i="5" s="1"/>
  <c r="T107" i="5" l="1"/>
  <c r="T167" i="5" l="1"/>
  <c r="T171" i="5"/>
  <c r="T149" i="5"/>
  <c r="T153" i="5"/>
  <c r="T154" i="5" s="1"/>
  <c r="T108" i="5"/>
  <c r="T110" i="5" s="1"/>
  <c r="T134" i="5"/>
  <c r="T172" i="5" l="1"/>
  <c r="T151" i="5"/>
  <c r="T152" i="5" s="1"/>
  <c r="T155" i="5" s="1"/>
  <c r="U123" i="5"/>
  <c r="U127" i="5" s="1"/>
  <c r="T140" i="5"/>
  <c r="U99" i="5"/>
  <c r="T116" i="5"/>
  <c r="T204" i="5"/>
  <c r="U128" i="5" l="1"/>
  <c r="T156" i="5"/>
  <c r="T157" i="5"/>
  <c r="T206" i="5" s="1"/>
  <c r="U103" i="5"/>
  <c r="T159" i="5" l="1"/>
  <c r="U146" i="5" s="1"/>
  <c r="U104" i="5"/>
  <c r="U129" i="5" s="1"/>
  <c r="U105" i="5"/>
  <c r="T160" i="5"/>
  <c r="T205" i="5"/>
  <c r="T208" i="5" s="1"/>
  <c r="T218" i="5" l="1"/>
  <c r="T219" i="5" s="1"/>
  <c r="T221" i="5" s="1"/>
  <c r="T122" i="2" s="1"/>
  <c r="T229" i="5"/>
  <c r="U106" i="5"/>
  <c r="U130" i="5" s="1"/>
  <c r="U131" i="5" s="1"/>
  <c r="U132" i="5" s="1"/>
  <c r="U107" i="5" l="1"/>
  <c r="U171" i="5" l="1"/>
  <c r="U167" i="5"/>
  <c r="U149" i="5"/>
  <c r="U153" i="5"/>
  <c r="U154" i="5" s="1"/>
  <c r="U134" i="5"/>
  <c r="U108" i="5"/>
  <c r="U110" i="5" s="1"/>
  <c r="U151" i="5" l="1"/>
  <c r="U152" i="5" s="1"/>
  <c r="U155" i="5" s="1"/>
  <c r="U172" i="5"/>
  <c r="U116" i="5"/>
  <c r="V99" i="5"/>
  <c r="V123" i="5"/>
  <c r="V127" i="5" s="1"/>
  <c r="U140" i="5"/>
  <c r="U204" i="5"/>
  <c r="V128" i="5" l="1"/>
  <c r="U156" i="5"/>
  <c r="U157" i="5"/>
  <c r="U206" i="5" s="1"/>
  <c r="V103" i="5"/>
  <c r="U159" i="5" l="1"/>
  <c r="V146" i="5" s="1"/>
  <c r="V105" i="5"/>
  <c r="V104" i="5"/>
  <c r="U160" i="5"/>
  <c r="U205" i="5"/>
  <c r="U208" i="5" s="1"/>
  <c r="V106" i="5" l="1"/>
  <c r="V130" i="5" s="1"/>
  <c r="V129" i="5"/>
  <c r="U218" i="5"/>
  <c r="U219" i="5" s="1"/>
  <c r="U221" i="5" s="1"/>
  <c r="U122" i="2" s="1"/>
  <c r="U229" i="5"/>
  <c r="V107" i="5" l="1"/>
  <c r="V108" i="5" s="1"/>
  <c r="V110" i="5" s="1"/>
  <c r="V131" i="5"/>
  <c r="V132" i="5" s="1"/>
  <c r="V134" i="5" s="1"/>
  <c r="V167" i="5" l="1"/>
  <c r="V171" i="5"/>
  <c r="V153" i="5"/>
  <c r="V149" i="5"/>
  <c r="V151" i="5" s="1"/>
  <c r="V152" i="5" s="1"/>
  <c r="V172" i="5"/>
  <c r="V116" i="5"/>
  <c r="W99" i="5"/>
  <c r="W123" i="5"/>
  <c r="W127" i="5" s="1"/>
  <c r="V140" i="5"/>
  <c r="V154" i="5" l="1"/>
  <c r="V204" i="5" s="1"/>
  <c r="V155" i="5"/>
  <c r="V157" i="5" s="1"/>
  <c r="V206" i="5" s="1"/>
  <c r="W128" i="5"/>
  <c r="W103" i="5"/>
  <c r="V156" i="5" l="1"/>
  <c r="V159" i="5" s="1"/>
  <c r="W146" i="5" s="1"/>
  <c r="W104" i="5"/>
  <c r="W129" i="5" s="1"/>
  <c r="W105" i="5"/>
  <c r="V160" i="5" l="1"/>
  <c r="V205" i="5"/>
  <c r="V208" i="5" s="1"/>
  <c r="V218" i="5"/>
  <c r="V219" i="5" s="1"/>
  <c r="V221" i="5" s="1"/>
  <c r="V122" i="2" s="1"/>
  <c r="V229" i="5"/>
  <c r="W106" i="5"/>
  <c r="W130" i="5" s="1"/>
  <c r="W131" i="5" s="1"/>
  <c r="W132" i="5" s="1"/>
  <c r="W107" i="5" l="1"/>
  <c r="W167" i="5" l="1"/>
  <c r="W171" i="5"/>
  <c r="W149" i="5"/>
  <c r="W153" i="5"/>
  <c r="W154" i="5" s="1"/>
  <c r="W108" i="5"/>
  <c r="W110" i="5" s="1"/>
  <c r="W134" i="5"/>
  <c r="W172" i="5" l="1"/>
  <c r="W151" i="5"/>
  <c r="W152" i="5" s="1"/>
  <c r="W155" i="5" s="1"/>
  <c r="X123" i="5"/>
  <c r="X127" i="5" s="1"/>
  <c r="W140" i="5"/>
  <c r="W116" i="5"/>
  <c r="X99" i="5"/>
  <c r="W204" i="5"/>
  <c r="X128" i="5" l="1"/>
  <c r="W156" i="5"/>
  <c r="W157" i="5"/>
  <c r="W206" i="5" s="1"/>
  <c r="X103" i="5"/>
  <c r="W159" i="5" l="1"/>
  <c r="X146" i="5" s="1"/>
  <c r="X105" i="5"/>
  <c r="X104" i="5"/>
  <c r="X129" i="5" s="1"/>
  <c r="W160" i="5"/>
  <c r="W205" i="5"/>
  <c r="W208" i="5" s="1"/>
  <c r="W218" i="5" l="1"/>
  <c r="W219" i="5" s="1"/>
  <c r="W221" i="5" s="1"/>
  <c r="W122" i="2" s="1"/>
  <c r="W229" i="5"/>
  <c r="X106" i="5"/>
  <c r="X130" i="5" s="1"/>
  <c r="X131" i="5" s="1"/>
  <c r="X132" i="5" s="1"/>
  <c r="X107" i="5" l="1"/>
  <c r="X167" i="5" l="1"/>
  <c r="X171" i="5"/>
  <c r="X149" i="5"/>
  <c r="X153" i="5"/>
  <c r="X108" i="5"/>
  <c r="X110" i="5" s="1"/>
  <c r="X134" i="5"/>
  <c r="X154" i="5" l="1"/>
  <c r="X151" i="5"/>
  <c r="X152" i="5" s="1"/>
  <c r="X155" i="5" s="1"/>
  <c r="X172" i="5"/>
  <c r="Y123" i="5"/>
  <c r="Y127" i="5" s="1"/>
  <c r="X140" i="5"/>
  <c r="X116" i="5"/>
  <c r="Y99" i="5"/>
  <c r="X204" i="5"/>
  <c r="Y128" i="5" l="1"/>
  <c r="Y103" i="5"/>
  <c r="X156" i="5"/>
  <c r="X157" i="5"/>
  <c r="X206" i="5" s="1"/>
  <c r="X159" i="5" l="1"/>
  <c r="Y146" i="5" s="1"/>
  <c r="Y105" i="5"/>
  <c r="X160" i="5"/>
  <c r="X205" i="5"/>
  <c r="X208" i="5" s="1"/>
  <c r="Y104" i="5"/>
  <c r="Y106" i="5" l="1"/>
  <c r="Y130" i="5" s="1"/>
  <c r="Y129" i="5"/>
  <c r="X218" i="5"/>
  <c r="X219" i="5" s="1"/>
  <c r="X221" i="5" s="1"/>
  <c r="X122" i="2" s="1"/>
  <c r="X229" i="5"/>
  <c r="Y107" i="5" l="1"/>
  <c r="Y153" i="5" s="1"/>
  <c r="Y131" i="5"/>
  <c r="Y132" i="5" s="1"/>
  <c r="Y134" i="5" s="1"/>
  <c r="Y171" i="5" l="1"/>
  <c r="Y167" i="5"/>
  <c r="Y172" i="5" s="1"/>
  <c r="Y108" i="5"/>
  <c r="Y110" i="5" s="1"/>
  <c r="Y116" i="5" s="1"/>
  <c r="Y149" i="5"/>
  <c r="Y151" i="5" s="1"/>
  <c r="Y152" i="5" s="1"/>
  <c r="Z123" i="5"/>
  <c r="Z127" i="5" s="1"/>
  <c r="Y140" i="5"/>
  <c r="Y154" i="5" l="1"/>
  <c r="Y204" i="5" s="1"/>
  <c r="Z99" i="5"/>
  <c r="Z103" i="5" s="1"/>
  <c r="Y155" i="5"/>
  <c r="Z128" i="5"/>
  <c r="Y156" i="5" l="1"/>
  <c r="Y157" i="5"/>
  <c r="Y206" i="5" s="1"/>
  <c r="Z104" i="5"/>
  <c r="Z129" i="5" s="1"/>
  <c r="Z105" i="5"/>
  <c r="Z106" i="5" l="1"/>
  <c r="Z130" i="5" s="1"/>
  <c r="Z131" i="5" s="1"/>
  <c r="Z132" i="5" s="1"/>
  <c r="Y159" i="5"/>
  <c r="Y205" i="5"/>
  <c r="Y208" i="5" s="1"/>
  <c r="Y229" i="5" s="1"/>
  <c r="Y160" i="5"/>
  <c r="Z146" i="5"/>
  <c r="Z107" i="5" l="1"/>
  <c r="Z108" i="5" s="1"/>
  <c r="Z110" i="5" s="1"/>
  <c r="Y218" i="5"/>
  <c r="Y219" i="5" s="1"/>
  <c r="Y221" i="5" s="1"/>
  <c r="Y122" i="2" s="1"/>
  <c r="Z134" i="5"/>
  <c r="Z167" i="5" l="1"/>
  <c r="Z171" i="5"/>
  <c r="Z149" i="5"/>
  <c r="Z153" i="5"/>
  <c r="Z154" i="5" s="1"/>
  <c r="Z204" i="5" s="1"/>
  <c r="AA99" i="5"/>
  <c r="Z116" i="5"/>
  <c r="AA123" i="5"/>
  <c r="AA127" i="5" s="1"/>
  <c r="Z140" i="5"/>
  <c r="Z172" i="5" l="1"/>
  <c r="Z151" i="5"/>
  <c r="Z152" i="5" s="1"/>
  <c r="Z155" i="5" s="1"/>
  <c r="AA128" i="5"/>
  <c r="AA103" i="5"/>
  <c r="Z156" i="5" l="1"/>
  <c r="Z157" i="5"/>
  <c r="Z206" i="5" s="1"/>
  <c r="AA104" i="5"/>
  <c r="AA129" i="5" s="1"/>
  <c r="AA105" i="5"/>
  <c r="AA106" i="5" l="1"/>
  <c r="AA130" i="5" s="1"/>
  <c r="AA131" i="5" s="1"/>
  <c r="AA132" i="5" s="1"/>
  <c r="Z159" i="5"/>
  <c r="Z205" i="5"/>
  <c r="Z208" i="5" s="1"/>
  <c r="Z218" i="5" s="1"/>
  <c r="Z219" i="5" s="1"/>
  <c r="Z221" i="5" s="1"/>
  <c r="Z122" i="2" s="1"/>
  <c r="Z160" i="5"/>
  <c r="AA146" i="5"/>
  <c r="AA107" i="5" l="1"/>
  <c r="Z229" i="5"/>
  <c r="AA134" i="5"/>
  <c r="AB123" i="5" s="1"/>
  <c r="AA167" i="5" l="1"/>
  <c r="AA171" i="5"/>
  <c r="AA149" i="5"/>
  <c r="AA153" i="5"/>
  <c r="AA108" i="5"/>
  <c r="AA110" i="5" s="1"/>
  <c r="AB99" i="5" s="1"/>
  <c r="AA140" i="5"/>
  <c r="AA172" i="5" l="1"/>
  <c r="AA151" i="5"/>
  <c r="AA152" i="5" s="1"/>
  <c r="AA154" i="5"/>
  <c r="AA204" i="5" s="1"/>
  <c r="AA116" i="5"/>
  <c r="AA155" i="5" l="1"/>
  <c r="AA156" i="5" s="1"/>
  <c r="AA205" i="5" s="1"/>
  <c r="AA157" i="5" l="1"/>
  <c r="AA206" i="5" s="1"/>
  <c r="AA208" i="5" s="1"/>
  <c r="AA218" i="5" l="1"/>
  <c r="AA219" i="5" s="1"/>
  <c r="AA221" i="5" s="1"/>
  <c r="AA122" i="2" s="1"/>
  <c r="AA229" i="5"/>
  <c r="AA159" i="5"/>
  <c r="AB146" i="5" s="1"/>
  <c r="AA160" i="5"/>
  <c r="C141" i="5"/>
  <c r="C142" i="5" s="1"/>
  <c r="C117" i="5" l="1"/>
  <c r="C118" i="5" s="1"/>
  <c r="AB127" i="5" l="1"/>
  <c r="AB128" i="5" l="1"/>
  <c r="AB103" i="5"/>
  <c r="AB105" i="5" l="1"/>
  <c r="AB104" i="5"/>
  <c r="AB129" i="5" s="1"/>
  <c r="AB106" i="5" l="1"/>
  <c r="AB130" i="5" s="1"/>
  <c r="AB131" i="5" s="1"/>
  <c r="AB132" i="5" s="1"/>
  <c r="AB167" i="5" l="1"/>
  <c r="AB107" i="5"/>
  <c r="AB149" i="5" s="1"/>
  <c r="AB171" i="5" l="1"/>
  <c r="AB133" i="5"/>
  <c r="AB153" i="5"/>
  <c r="AB108" i="5"/>
  <c r="AB109" i="5" s="1"/>
  <c r="AB134" i="5" l="1"/>
  <c r="AB140" i="5" s="1"/>
  <c r="AB168" i="5"/>
  <c r="AB172" i="5" s="1"/>
  <c r="AB110" i="5"/>
  <c r="AB116" i="5" s="1"/>
  <c r="AB150" i="5"/>
  <c r="AB154" i="5" l="1"/>
  <c r="AB151" i="5"/>
  <c r="AB152" i="5" s="1"/>
  <c r="AB155" i="5" s="1"/>
  <c r="AB157" i="5" s="1"/>
  <c r="AB156" i="5" l="1"/>
  <c r="AB205" i="5" l="1"/>
  <c r="AB160" i="5"/>
  <c r="AB158" i="5"/>
  <c r="AB159" i="5" s="1"/>
  <c r="AB206" i="5"/>
  <c r="AB208" i="5" s="1"/>
  <c r="D174" i="5"/>
  <c r="D212" i="5" s="1"/>
  <c r="D175" i="5"/>
  <c r="D177" i="5" s="1"/>
  <c r="E164" i="5" s="1"/>
  <c r="AB229" i="5" l="1"/>
  <c r="AB218" i="5"/>
  <c r="AB219" i="5" s="1"/>
  <c r="AB221" i="5" s="1"/>
  <c r="AB122" i="2" s="1"/>
  <c r="D126" i="2" s="1"/>
  <c r="D13" i="5" s="1"/>
  <c r="D213" i="5"/>
  <c r="D215" i="5" s="1"/>
  <c r="D224" i="5" s="1"/>
  <c r="D225" i="5" s="1"/>
  <c r="D227" i="5" s="1"/>
  <c r="D121" i="2" s="1"/>
  <c r="D178" i="5"/>
  <c r="E169" i="5"/>
  <c r="E170" i="5" s="1"/>
  <c r="E173" i="5" s="1"/>
  <c r="E174" i="5" s="1"/>
  <c r="E212" i="5" s="1"/>
  <c r="D230" i="5" l="1"/>
  <c r="E175" i="5"/>
  <c r="E213" i="5" l="1"/>
  <c r="E215" i="5" s="1"/>
  <c r="E177" i="5"/>
  <c r="F164" i="5" s="1"/>
  <c r="E178" i="5"/>
  <c r="F169" i="5" l="1"/>
  <c r="F170" i="5" s="1"/>
  <c r="F173" i="5" s="1"/>
  <c r="E230" i="5"/>
  <c r="E224" i="5"/>
  <c r="E225" i="5" s="1"/>
  <c r="E227" i="5" s="1"/>
  <c r="E121" i="2" s="1"/>
  <c r="F174" i="5" l="1"/>
  <c r="F175" i="5"/>
  <c r="F213" i="5" s="1"/>
  <c r="F177" i="5" l="1"/>
  <c r="G164" i="5" s="1"/>
  <c r="F212" i="5"/>
  <c r="F215" i="5" s="1"/>
  <c r="F178" i="5"/>
  <c r="F224" i="5" l="1"/>
  <c r="F225" i="5" s="1"/>
  <c r="F227" i="5" s="1"/>
  <c r="F121" i="2" s="1"/>
  <c r="F230" i="5"/>
  <c r="G169" i="5"/>
  <c r="G170" i="5" s="1"/>
  <c r="G173" i="5" s="1"/>
  <c r="G174" i="5" l="1"/>
  <c r="G175" i="5"/>
  <c r="G213" i="5" s="1"/>
  <c r="G177" i="5" l="1"/>
  <c r="H164" i="5" s="1"/>
  <c r="G212" i="5"/>
  <c r="G215" i="5" s="1"/>
  <c r="G178" i="5"/>
  <c r="G224" i="5" l="1"/>
  <c r="G225" i="5" s="1"/>
  <c r="G227" i="5" s="1"/>
  <c r="G121" i="2" s="1"/>
  <c r="G230" i="5"/>
  <c r="H169" i="5"/>
  <c r="H170" i="5" s="1"/>
  <c r="H173" i="5" s="1"/>
  <c r="H174" i="5" l="1"/>
  <c r="H175" i="5"/>
  <c r="H213" i="5" s="1"/>
  <c r="H177" i="5" l="1"/>
  <c r="I164" i="5" s="1"/>
  <c r="H212" i="5"/>
  <c r="H215" i="5" s="1"/>
  <c r="H178" i="5"/>
  <c r="H230" i="5" l="1"/>
  <c r="H224" i="5"/>
  <c r="H225" i="5" s="1"/>
  <c r="H227" i="5" s="1"/>
  <c r="H121" i="2" s="1"/>
  <c r="I169" i="5"/>
  <c r="I170" i="5" s="1"/>
  <c r="I173" i="5" s="1"/>
  <c r="I174" i="5" l="1"/>
  <c r="I175" i="5"/>
  <c r="I213" i="5" s="1"/>
  <c r="I177" i="5" l="1"/>
  <c r="J164" i="5" s="1"/>
  <c r="I212" i="5"/>
  <c r="I215" i="5" s="1"/>
  <c r="I178" i="5"/>
  <c r="I224" i="5" l="1"/>
  <c r="I225" i="5" s="1"/>
  <c r="I227" i="5" s="1"/>
  <c r="I121" i="2" s="1"/>
  <c r="I230" i="5"/>
  <c r="J169" i="5"/>
  <c r="J170" i="5" s="1"/>
  <c r="J173" i="5" s="1"/>
  <c r="J174" i="5" l="1"/>
  <c r="J175" i="5"/>
  <c r="J213" i="5" s="1"/>
  <c r="J177" i="5" l="1"/>
  <c r="K164" i="5" s="1"/>
  <c r="J212" i="5"/>
  <c r="J215" i="5" s="1"/>
  <c r="J178" i="5"/>
  <c r="J230" i="5" l="1"/>
  <c r="J224" i="5"/>
  <c r="J225" i="5" s="1"/>
  <c r="J227" i="5" s="1"/>
  <c r="J121" i="2" s="1"/>
  <c r="K169" i="5"/>
  <c r="K170" i="5" s="1"/>
  <c r="K173" i="5" s="1"/>
  <c r="K174" i="5" l="1"/>
  <c r="K175" i="5"/>
  <c r="K213" i="5" s="1"/>
  <c r="K177" i="5" l="1"/>
  <c r="L164" i="5" s="1"/>
  <c r="K212" i="5"/>
  <c r="K215" i="5" s="1"/>
  <c r="K178" i="5"/>
  <c r="K230" i="5" l="1"/>
  <c r="K224" i="5"/>
  <c r="K225" i="5" s="1"/>
  <c r="K227" i="5" s="1"/>
  <c r="K121" i="2" s="1"/>
  <c r="L169" i="5"/>
  <c r="L170" i="5" s="1"/>
  <c r="L173" i="5" s="1"/>
  <c r="L174" i="5" l="1"/>
  <c r="L175" i="5"/>
  <c r="L213" i="5" s="1"/>
  <c r="L177" i="5" l="1"/>
  <c r="M164" i="5" s="1"/>
  <c r="L212" i="5"/>
  <c r="L215" i="5" s="1"/>
  <c r="L178" i="5"/>
  <c r="L224" i="5" l="1"/>
  <c r="L225" i="5" s="1"/>
  <c r="L227" i="5" s="1"/>
  <c r="L121" i="2" s="1"/>
  <c r="L230" i="5"/>
  <c r="M169" i="5"/>
  <c r="M170" i="5" s="1"/>
  <c r="M173" i="5" s="1"/>
  <c r="M174" i="5" l="1"/>
  <c r="M175" i="5"/>
  <c r="M213" i="5" s="1"/>
  <c r="M177" i="5" l="1"/>
  <c r="N164" i="5" s="1"/>
  <c r="M212" i="5"/>
  <c r="M215" i="5" s="1"/>
  <c r="M178" i="5"/>
  <c r="M230" i="5" l="1"/>
  <c r="M224" i="5"/>
  <c r="M225" i="5" s="1"/>
  <c r="M227" i="5" s="1"/>
  <c r="M121" i="2" s="1"/>
  <c r="N169" i="5"/>
  <c r="N170" i="5" s="1"/>
  <c r="N173" i="5" s="1"/>
  <c r="N174" i="5" l="1"/>
  <c r="N175" i="5"/>
  <c r="N213" i="5" s="1"/>
  <c r="N177" i="5" l="1"/>
  <c r="O164" i="5" s="1"/>
  <c r="N212" i="5"/>
  <c r="N215" i="5" s="1"/>
  <c r="N178" i="5"/>
  <c r="N224" i="5" l="1"/>
  <c r="N225" i="5" s="1"/>
  <c r="N227" i="5" s="1"/>
  <c r="N121" i="2" s="1"/>
  <c r="N230" i="5"/>
  <c r="O169" i="5"/>
  <c r="O170" i="5" s="1"/>
  <c r="O173" i="5" s="1"/>
  <c r="O174" i="5" l="1"/>
  <c r="O175" i="5"/>
  <c r="O213" i="5" s="1"/>
  <c r="O177" i="5" l="1"/>
  <c r="P164" i="5" s="1"/>
  <c r="O212" i="5"/>
  <c r="O215" i="5" s="1"/>
  <c r="O178" i="5"/>
  <c r="O230" i="5" l="1"/>
  <c r="O224" i="5"/>
  <c r="O225" i="5" s="1"/>
  <c r="O227" i="5" s="1"/>
  <c r="O121" i="2" s="1"/>
  <c r="P169" i="5"/>
  <c r="P170" i="5" s="1"/>
  <c r="P173" i="5" s="1"/>
  <c r="P174" i="5" l="1"/>
  <c r="P175" i="5"/>
  <c r="P213" i="5" s="1"/>
  <c r="P177" i="5" l="1"/>
  <c r="Q164" i="5" s="1"/>
  <c r="P212" i="5"/>
  <c r="P215" i="5" s="1"/>
  <c r="P178" i="5"/>
  <c r="P224" i="5" l="1"/>
  <c r="P225" i="5" s="1"/>
  <c r="P227" i="5" s="1"/>
  <c r="P121" i="2" s="1"/>
  <c r="P230" i="5"/>
  <c r="Q169" i="5"/>
  <c r="Q170" i="5" s="1"/>
  <c r="Q173" i="5" s="1"/>
  <c r="Q174" i="5" l="1"/>
  <c r="Q175" i="5"/>
  <c r="Q213" i="5" s="1"/>
  <c r="Q177" i="5" l="1"/>
  <c r="R164" i="5" s="1"/>
  <c r="Q212" i="5"/>
  <c r="Q215" i="5" s="1"/>
  <c r="Q178" i="5"/>
  <c r="Q224" i="5" l="1"/>
  <c r="Q225" i="5" s="1"/>
  <c r="Q227" i="5" s="1"/>
  <c r="Q121" i="2" s="1"/>
  <c r="Q230" i="5"/>
  <c r="R169" i="5"/>
  <c r="R170" i="5" s="1"/>
  <c r="R173" i="5" s="1"/>
  <c r="R174" i="5" l="1"/>
  <c r="R175" i="5"/>
  <c r="R213" i="5" s="1"/>
  <c r="R177" i="5" l="1"/>
  <c r="S164" i="5" s="1"/>
  <c r="R212" i="5"/>
  <c r="R215" i="5" s="1"/>
  <c r="R178" i="5"/>
  <c r="R224" i="5" l="1"/>
  <c r="R225" i="5" s="1"/>
  <c r="R227" i="5" s="1"/>
  <c r="R121" i="2" s="1"/>
  <c r="R230" i="5"/>
  <c r="S169" i="5"/>
  <c r="S170" i="5" s="1"/>
  <c r="S173" i="5" s="1"/>
  <c r="S174" i="5" l="1"/>
  <c r="S175" i="5"/>
  <c r="S213" i="5" s="1"/>
  <c r="S177" i="5" l="1"/>
  <c r="T164" i="5" s="1"/>
  <c r="S212" i="5"/>
  <c r="S215" i="5" s="1"/>
  <c r="S178" i="5"/>
  <c r="S230" i="5" l="1"/>
  <c r="S224" i="5"/>
  <c r="S225" i="5" s="1"/>
  <c r="S227" i="5" s="1"/>
  <c r="S121" i="2" s="1"/>
  <c r="T169" i="5"/>
  <c r="T170" i="5" s="1"/>
  <c r="T173" i="5" s="1"/>
  <c r="T174" i="5" l="1"/>
  <c r="T175" i="5"/>
  <c r="T213" i="5" s="1"/>
  <c r="T177" i="5" l="1"/>
  <c r="U164" i="5" s="1"/>
  <c r="T212" i="5"/>
  <c r="T215" i="5" s="1"/>
  <c r="T178" i="5"/>
  <c r="T224" i="5" l="1"/>
  <c r="T225" i="5" s="1"/>
  <c r="T227" i="5" s="1"/>
  <c r="T121" i="2" s="1"/>
  <c r="T230" i="5"/>
  <c r="U169" i="5"/>
  <c r="U170" i="5" s="1"/>
  <c r="U173" i="5" s="1"/>
  <c r="U174" i="5" l="1"/>
  <c r="U175" i="5"/>
  <c r="U213" i="5" s="1"/>
  <c r="U177" i="5" l="1"/>
  <c r="V164" i="5" s="1"/>
  <c r="U212" i="5"/>
  <c r="U215" i="5" s="1"/>
  <c r="U178" i="5"/>
  <c r="U224" i="5" l="1"/>
  <c r="U225" i="5" s="1"/>
  <c r="U227" i="5" s="1"/>
  <c r="U121" i="2" s="1"/>
  <c r="U230" i="5"/>
  <c r="V169" i="5"/>
  <c r="V170" i="5" s="1"/>
  <c r="V173" i="5" s="1"/>
  <c r="V174" i="5" l="1"/>
  <c r="V175" i="5"/>
  <c r="V213" i="5" s="1"/>
  <c r="V177" i="5" l="1"/>
  <c r="W164" i="5" s="1"/>
  <c r="V212" i="5"/>
  <c r="V215" i="5" s="1"/>
  <c r="V178" i="5"/>
  <c r="V224" i="5" l="1"/>
  <c r="V225" i="5" s="1"/>
  <c r="V227" i="5" s="1"/>
  <c r="V121" i="2" s="1"/>
  <c r="V230" i="5"/>
  <c r="W169" i="5"/>
  <c r="W170" i="5" s="1"/>
  <c r="W173" i="5" s="1"/>
  <c r="W174" i="5" l="1"/>
  <c r="W175" i="5"/>
  <c r="W213" i="5" s="1"/>
  <c r="W177" i="5" l="1"/>
  <c r="X164" i="5" s="1"/>
  <c r="W212" i="5"/>
  <c r="W215" i="5" s="1"/>
  <c r="W178" i="5"/>
  <c r="W230" i="5" l="1"/>
  <c r="W224" i="5"/>
  <c r="W225" i="5" s="1"/>
  <c r="W227" i="5" s="1"/>
  <c r="W121" i="2" s="1"/>
  <c r="X169" i="5"/>
  <c r="X170" i="5" s="1"/>
  <c r="X173" i="5" s="1"/>
  <c r="X174" i="5" l="1"/>
  <c r="X175" i="5"/>
  <c r="X213" i="5" s="1"/>
  <c r="X177" i="5" l="1"/>
  <c r="Y164" i="5" s="1"/>
  <c r="Y169" i="5" s="1"/>
  <c r="Y170" i="5" s="1"/>
  <c r="Y173" i="5" s="1"/>
  <c r="X212" i="5"/>
  <c r="X215" i="5" s="1"/>
  <c r="X178" i="5"/>
  <c r="Y175" i="5" l="1"/>
  <c r="Y213" i="5" s="1"/>
  <c r="X230" i="5"/>
  <c r="X224" i="5"/>
  <c r="X225" i="5" s="1"/>
  <c r="X227" i="5" s="1"/>
  <c r="X121" i="2" s="1"/>
  <c r="Y174" i="5"/>
  <c r="Y177" i="5" s="1"/>
  <c r="Z164" i="5" s="1"/>
  <c r="Z169" i="5" l="1"/>
  <c r="Z170" i="5" s="1"/>
  <c r="Z173" i="5" s="1"/>
  <c r="Y212" i="5"/>
  <c r="Y215" i="5" s="1"/>
  <c r="Y178" i="5"/>
  <c r="Z175" i="5" l="1"/>
  <c r="Z213" i="5" s="1"/>
  <c r="Y230" i="5"/>
  <c r="Y224" i="5"/>
  <c r="Y225" i="5" s="1"/>
  <c r="Y227" i="5" s="1"/>
  <c r="Y121" i="2" s="1"/>
  <c r="Z174" i="5"/>
  <c r="Z177" i="5" l="1"/>
  <c r="AA164" i="5" s="1"/>
  <c r="AA169" i="5" s="1"/>
  <c r="AA170" i="5" s="1"/>
  <c r="AA173" i="5" s="1"/>
  <c r="Z212" i="5"/>
  <c r="Z215" i="5" s="1"/>
  <c r="Z178" i="5"/>
  <c r="AA175" i="5" l="1"/>
  <c r="AA213" i="5" s="1"/>
  <c r="Z224" i="5"/>
  <c r="Z225" i="5" s="1"/>
  <c r="Z227" i="5" s="1"/>
  <c r="Z121" i="2" s="1"/>
  <c r="Z230" i="5"/>
  <c r="AA174" i="5"/>
  <c r="AA177" i="5" l="1"/>
  <c r="AB164" i="5" s="1"/>
  <c r="AA212" i="5"/>
  <c r="AA215" i="5" s="1"/>
  <c r="AA178" i="5"/>
  <c r="AA230" i="5" l="1"/>
  <c r="AA224" i="5"/>
  <c r="AA225" i="5" s="1"/>
  <c r="AA227" i="5" s="1"/>
  <c r="AA121" i="2" s="1"/>
  <c r="AB169" i="5" l="1"/>
  <c r="AB170" i="5" s="1"/>
  <c r="AB173" i="5"/>
  <c r="AB175" i="5" l="1"/>
  <c r="AB213" i="5" s="1"/>
  <c r="AB174" i="5"/>
  <c r="AB178" i="5" s="1"/>
  <c r="AB176" i="5" l="1"/>
  <c r="AB177" i="5" s="1"/>
  <c r="AB212" i="5"/>
  <c r="AB215" i="5" s="1"/>
  <c r="AB230" i="5" l="1"/>
  <c r="AB224" i="5"/>
  <c r="AB225" i="5" s="1"/>
  <c r="AB227" i="5" s="1"/>
  <c r="AB121" i="2" s="1"/>
  <c r="D125" i="2" s="1"/>
</calcChain>
</file>

<file path=xl/sharedStrings.xml><?xml version="1.0" encoding="utf-8"?>
<sst xmlns="http://schemas.openxmlformats.org/spreadsheetml/2006/main" count="418" uniqueCount="248">
  <si>
    <t>Example Model</t>
  </si>
  <si>
    <t>Assumptions</t>
  </si>
  <si>
    <t>Project</t>
  </si>
  <si>
    <t># of WTGs</t>
  </si>
  <si>
    <t>WTG capacity</t>
  </si>
  <si>
    <t>Project capacity</t>
  </si>
  <si>
    <t>Capital cost</t>
  </si>
  <si>
    <t>WTG</t>
  </si>
  <si>
    <t>BOP</t>
  </si>
  <si>
    <t>Grid connection</t>
  </si>
  <si>
    <t>Development</t>
  </si>
  <si>
    <t>$/kW</t>
  </si>
  <si>
    <t>$k</t>
  </si>
  <si>
    <t>Financing</t>
  </si>
  <si>
    <t>IDC</t>
  </si>
  <si>
    <t>Total</t>
  </si>
  <si>
    <t>Contingency</t>
  </si>
  <si>
    <t>%</t>
  </si>
  <si>
    <t>Tax Rate</t>
  </si>
  <si>
    <t>Escalation factor</t>
  </si>
  <si>
    <t>Interest</t>
  </si>
  <si>
    <t>Spread</t>
  </si>
  <si>
    <t>Other</t>
  </si>
  <si>
    <t>Operating Expenses</t>
  </si>
  <si>
    <t>$/MWh</t>
  </si>
  <si>
    <t>Turbine</t>
  </si>
  <si>
    <t>Utilities</t>
  </si>
  <si>
    <t>Project Mgmt</t>
  </si>
  <si>
    <t>Royalties</t>
  </si>
  <si>
    <t>% of revenues</t>
  </si>
  <si>
    <t>Insurance</t>
  </si>
  <si>
    <t>Property Taxes</t>
  </si>
  <si>
    <t>Other Services</t>
  </si>
  <si>
    <t>% of Operating Expenses</t>
  </si>
  <si>
    <t>WTG warranty</t>
  </si>
  <si>
    <t>years</t>
  </si>
  <si>
    <t>Debt</t>
  </si>
  <si>
    <t>Equity</t>
  </si>
  <si>
    <t>Revenues</t>
  </si>
  <si>
    <t>Production (MWh)</t>
  </si>
  <si>
    <t>Escalation rate</t>
  </si>
  <si>
    <t>EBITDA</t>
  </si>
  <si>
    <t>Depreciation (tax)</t>
  </si>
  <si>
    <t>5-year MACRS</t>
  </si>
  <si>
    <t>15-year MACRS</t>
  </si>
  <si>
    <t>39-year SL</t>
  </si>
  <si>
    <t>% of project</t>
  </si>
  <si>
    <t>Captial cost</t>
  </si>
  <si>
    <t>Tax rate</t>
  </si>
  <si>
    <t>Treasury grant</t>
  </si>
  <si>
    <t>Capital costs</t>
  </si>
  <si>
    <t>Unlevered cash flows</t>
  </si>
  <si>
    <t>IRR</t>
  </si>
  <si>
    <t>Levered Cash Flows</t>
  </si>
  <si>
    <t>PPA rate</t>
  </si>
  <si>
    <t>Levered cash flows</t>
  </si>
  <si>
    <t>P50</t>
  </si>
  <si>
    <t>P75</t>
  </si>
  <si>
    <t>P90</t>
  </si>
  <si>
    <t>P95</t>
  </si>
  <si>
    <t>P99</t>
  </si>
  <si>
    <t>Production selected</t>
  </si>
  <si>
    <t>MW</t>
  </si>
  <si>
    <t>Debt sizing</t>
  </si>
  <si>
    <t>Debt Service</t>
  </si>
  <si>
    <t>DSCR</t>
  </si>
  <si>
    <t>Operating Cash Flow</t>
  </si>
  <si>
    <t>1-yr P50</t>
  </si>
  <si>
    <t>Improvement to P50</t>
  </si>
  <si>
    <t>CFADS</t>
  </si>
  <si>
    <t>Beginning Balance</t>
  </si>
  <si>
    <t>Ending Balance</t>
  </si>
  <si>
    <t>Actual Debt Service</t>
  </si>
  <si>
    <t>Actual DSCR</t>
  </si>
  <si>
    <t>Levered Pre-Tax Cash Flows</t>
  </si>
  <si>
    <t>Levered After-tax Cash Flows (No Loss Carry-forward)</t>
  </si>
  <si>
    <t>Levered After-tax Cash Flows (Loss Carry-forward)</t>
  </si>
  <si>
    <t>Yearly Tax Payable</t>
  </si>
  <si>
    <t>Tax Loss Carryforward</t>
  </si>
  <si>
    <t>Actual Tax Paid</t>
  </si>
  <si>
    <t>Levered After-tax Cash Flows (Full tax benefit absorption)</t>
  </si>
  <si>
    <t>Debt Amount</t>
  </si>
  <si>
    <t>2018 PTC Rate ($/MWh)</t>
  </si>
  <si>
    <t>PTCs Earned by the Partnership</t>
  </si>
  <si>
    <t>Partnership Taxable Income</t>
  </si>
  <si>
    <t>Income Allocation to Tax Equity</t>
  </si>
  <si>
    <t>Target Flip Date (Years)</t>
  </si>
  <si>
    <t>Income Allocation to the Sponsor</t>
  </si>
  <si>
    <t>Cash Allocation to Tax Equity</t>
  </si>
  <si>
    <t>Cash Allocation to the Sponsor</t>
  </si>
  <si>
    <t>Cash Allocations</t>
  </si>
  <si>
    <t>Income Allocations</t>
  </si>
  <si>
    <t>Tax Equity</t>
  </si>
  <si>
    <t>Sponsor</t>
  </si>
  <si>
    <t>Benefits Attributable to Tax Equity</t>
  </si>
  <si>
    <t>Cash Distributions</t>
  </si>
  <si>
    <t>Tax Benefits/(losses)</t>
  </si>
  <si>
    <t>PTCs</t>
  </si>
  <si>
    <t>Total Benefits</t>
  </si>
  <si>
    <t>Tax Equity Contribution</t>
  </si>
  <si>
    <t>Development Fee Mark-up (15%)</t>
  </si>
  <si>
    <t>Total Fair Market Value</t>
  </si>
  <si>
    <t>Tax Equity Target IRR</t>
  </si>
  <si>
    <t>Tax Equity Full-Term After Tax IRR</t>
  </si>
  <si>
    <t>Benefits Attributable to Sponsor</t>
  </si>
  <si>
    <t>Backleverage Sizing DSCR</t>
  </si>
  <si>
    <t>Cash Flow Available for Backleverage</t>
  </si>
  <si>
    <t>CF Available for Debt Service</t>
  </si>
  <si>
    <t>Backleverage Amount</t>
  </si>
  <si>
    <t>Backelverage Term</t>
  </si>
  <si>
    <t>Sponsor Levered Cash Flows</t>
  </si>
  <si>
    <t>Plus: Basis Contribution</t>
  </si>
  <si>
    <t>Less: Cash Distribution</t>
  </si>
  <si>
    <t>Note: 734(b) Step-up is ignored</t>
  </si>
  <si>
    <t>Tax Equity Deficit Restoration Obligation</t>
  </si>
  <si>
    <t>Revenue</t>
  </si>
  <si>
    <t>Period</t>
  </si>
  <si>
    <t>Operating Expense</t>
  </si>
  <si>
    <t>Total OpEx</t>
  </si>
  <si>
    <t>EBIT</t>
  </si>
  <si>
    <t>Income tax benefit/(expense)</t>
  </si>
  <si>
    <t>Income tax calculation</t>
  </si>
  <si>
    <t>Unlevered CF to project</t>
  </si>
  <si>
    <t>PPA rate ($/MWh)</t>
  </si>
  <si>
    <t>Less: Debt service</t>
  </si>
  <si>
    <t>Levered CF to project</t>
  </si>
  <si>
    <t>Income tax expense</t>
  </si>
  <si>
    <t>Interest expense</t>
  </si>
  <si>
    <t>Less: Income tax expense</t>
  </si>
  <si>
    <t>AT Levered CF</t>
  </si>
  <si>
    <t xml:space="preserve">Project-Level Cash Flows </t>
  </si>
  <si>
    <t>Unlevered Cash Flows</t>
  </si>
  <si>
    <t>NCF</t>
  </si>
  <si>
    <t>Factor</t>
  </si>
  <si>
    <t>MWh</t>
  </si>
  <si>
    <t>Depreciation</t>
  </si>
  <si>
    <t>Debt schedule</t>
  </si>
  <si>
    <t>Less: Total OpEx</t>
  </si>
  <si>
    <t>Base Interest Rate</t>
  </si>
  <si>
    <t>All-in Interest</t>
  </si>
  <si>
    <t>Term (Years)</t>
  </si>
  <si>
    <t>Amortization of principal</t>
  </si>
  <si>
    <t>Partnership Cash Flows</t>
  </si>
  <si>
    <t>&lt;&lt;--- For simplicity, backleverage is sized at a DSCR of 1.30x for P50 production level</t>
  </si>
  <si>
    <t>Partnership 704(b) Capital Account</t>
  </si>
  <si>
    <t>Tax Equity 704(b) Capital Account</t>
  </si>
  <si>
    <t>Sponsor 704(b) Capital Account</t>
  </si>
  <si>
    <t>#</t>
  </si>
  <si>
    <t>PPA term (years)</t>
  </si>
  <si>
    <t>Debt term (years)</t>
  </si>
  <si>
    <t>Tax equity</t>
  </si>
  <si>
    <t>Cash equity</t>
  </si>
  <si>
    <t>Asset cost</t>
  </si>
  <si>
    <t>Asset FMV</t>
  </si>
  <si>
    <t>Asset cost to project</t>
  </si>
  <si>
    <t>Book up depreciation</t>
  </si>
  <si>
    <t>Book (FMV) depreciation</t>
  </si>
  <si>
    <t>Tax depreciation</t>
  </si>
  <si>
    <t>Tax depreciation for project (asset cost to project)</t>
  </si>
  <si>
    <t>Income allocation to TE</t>
  </si>
  <si>
    <t>Income allocation to cash equity</t>
  </si>
  <si>
    <t>Book depreciation allocation to TE</t>
  </si>
  <si>
    <t>Book depreciation allocation to cash equity</t>
  </si>
  <si>
    <t>Cash equity (contributing partner) Initial Adjustment</t>
  </si>
  <si>
    <t>TE (Non Contributing Partner) Initial Adjustment</t>
  </si>
  <si>
    <t>TE (Non Contributing Partner) Remedial Allocation</t>
  </si>
  <si>
    <t>Book depreciation exceeding ceiling</t>
  </si>
  <si>
    <t>Tax Equity Outside Basis</t>
  </si>
  <si>
    <t>Sponsor Outside Basis</t>
  </si>
  <si>
    <t>Tax Liability Before Credits</t>
  </si>
  <si>
    <t>PTC</t>
  </si>
  <si>
    <t>Tax Liability</t>
  </si>
  <si>
    <t>Cash distribution %</t>
  </si>
  <si>
    <t>Project pre-tax cash flow</t>
  </si>
  <si>
    <t>Cash equity pre-tax CF</t>
  </si>
  <si>
    <t>TE pre-tax CF</t>
  </si>
  <si>
    <t>704(b) Capital Accounts and Outside Basis</t>
  </si>
  <si>
    <t>Book depreciation</t>
  </si>
  <si>
    <t>Sponsor contribution</t>
  </si>
  <si>
    <t>Tax equity contribution</t>
  </si>
  <si>
    <t>FMV breakdown</t>
  </si>
  <si>
    <t>Tax Book Depreciation Schedule (FMV)</t>
  </si>
  <si>
    <t>Asset Acquisition and Basis Summary</t>
  </si>
  <si>
    <t xml:space="preserve">GAAP Depreciation </t>
  </si>
  <si>
    <t>Income Adjustments</t>
  </si>
  <si>
    <t>After-tax cash flow</t>
  </si>
  <si>
    <t>Cash Equity and Tax Equity Return Calculations</t>
  </si>
  <si>
    <t>Cash Flows</t>
  </si>
  <si>
    <t>Cash equity IRR</t>
  </si>
  <si>
    <t>Tax equity IRR</t>
  </si>
  <si>
    <t>Tax Equity and Partnership</t>
  </si>
  <si>
    <t>Adjusted Taxable Income to Tax Equity</t>
  </si>
  <si>
    <t>Adjusted Taxable Income to Sponsor</t>
  </si>
  <si>
    <t>Tax Equity DRO Cap</t>
  </si>
  <si>
    <t>Balance</t>
  </si>
  <si>
    <t>Max Balance</t>
  </si>
  <si>
    <t>Max Balance %</t>
  </si>
  <si>
    <t>DRO Cap %</t>
  </si>
  <si>
    <t>Sponsor Deficit Restoration Obligation</t>
  </si>
  <si>
    <t>Sponsor DRO Cap</t>
  </si>
  <si>
    <t>Taxable Income to Tax Equity</t>
  </si>
  <si>
    <t>Taxable Income to Sponsor</t>
  </si>
  <si>
    <t>Project capacity (MW)</t>
  </si>
  <si>
    <t>Term Loan</t>
  </si>
  <si>
    <t>Offtake</t>
  </si>
  <si>
    <t>Backleverage Loan</t>
  </si>
  <si>
    <t>CPI Inflation Rate</t>
  </si>
  <si>
    <t>20-year SL</t>
  </si>
  <si>
    <t>PTC Rate ($/MWh)</t>
  </si>
  <si>
    <t>Unlevered After-Tax Cash Flows (Full tax benefit absorption)</t>
  </si>
  <si>
    <t>Effective Allocation</t>
  </si>
  <si>
    <t>Production Scenario</t>
  </si>
  <si>
    <t>731(a) Adjustment</t>
  </si>
  <si>
    <t>Returns Summary</t>
  </si>
  <si>
    <t>Income Reallocation Limits</t>
  </si>
  <si>
    <t>Deficit Restoration Obligation</t>
  </si>
  <si>
    <t>% of Contribution</t>
  </si>
  <si>
    <t>Reallocations from Tax Equity to Sponsor</t>
  </si>
  <si>
    <t>Reallocations from Sponsor to Tax Equity</t>
  </si>
  <si>
    <t>DRO Special Income Allocation</t>
  </si>
  <si>
    <t>Plus: Initial Allocation of Income / (Loss)</t>
  </si>
  <si>
    <t>Income / (Loss) Allocation</t>
  </si>
  <si>
    <t>Less: 704(b) Allocation of Loss</t>
  </si>
  <si>
    <t>704(d) Suspended Losses</t>
  </si>
  <si>
    <t>Cumulative Suspended Losses</t>
  </si>
  <si>
    <t>Interim Balance #2</t>
  </si>
  <si>
    <t>Interim Balance #1</t>
  </si>
  <si>
    <t>704(d) Suspended Losses Utilized</t>
  </si>
  <si>
    <t>Plus: Allocation of Income / (Loss)</t>
  </si>
  <si>
    <t>Less: 704(b) Allocation of Losses</t>
  </si>
  <si>
    <t>Plus: 704(b) Allocation of Income</t>
  </si>
  <si>
    <t>Pre-Tax Income (Loss)</t>
  </si>
  <si>
    <t>Section 704(c) Income Adjustment</t>
  </si>
  <si>
    <t>Suspended Loss Liability</t>
  </si>
  <si>
    <t>Suspended Loss Benefit</t>
  </si>
  <si>
    <t>Tax Equity - Taxable Income</t>
  </si>
  <si>
    <t>Cash Equity</t>
  </si>
  <si>
    <t>Cash Equity - Taxable Income</t>
  </si>
  <si>
    <t>TE (Non Contributing Partner) 704(c) Income Adjustment</t>
  </si>
  <si>
    <t>Cash equity (contributing partner) 704(c) Income Adjustment</t>
  </si>
  <si>
    <t>Cash equity (contributing partner) Remedial Allocation</t>
  </si>
  <si>
    <t>Sponsor Backleverage</t>
  </si>
  <si>
    <t>Sponsor Contribution</t>
  </si>
  <si>
    <t>Min. Allocation</t>
  </si>
  <si>
    <t>Max. Allocation</t>
  </si>
  <si>
    <t>Plus: Liquidating Distribution</t>
  </si>
  <si>
    <t>Remaining Basis Write-off</t>
  </si>
  <si>
    <t>DRO Contribution /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</si>
</sst>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164" formatCode="0.0%"/>
    <numFmt numFmtId="165" formatCode="0.00\x"/>
    <numFmt numFmtId="166" formatCode="0.0"/>
    <numFmt numFmtId="167" formatCode="0.0%_);\(0.0%\);&quot;–&quot;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u val="singleAccounting"/>
      <sz val="11"/>
      <color theme="1"/>
      <name val="Arial"/>
      <family val="2"/>
    </font>
    <font>
      <b/>
      <sz val="13"/>
      <color theme="1"/>
      <name val="Arial"/>
      <family val="2"/>
    </font>
    <font>
      <sz val="11"/>
      <color rgb="FF000000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4" fillId="0" borderId="0" xfId="0" applyFont="1"/>
    <xf numFmtId="164" fontId="4" fillId="0" borderId="0" xfId="1" applyNumberFormat="1" applyFont="1"/>
    <xf numFmtId="3" fontId="3" fillId="0" borderId="0" xfId="0" applyNumberFormat="1" applyFont="1" applyAlignment="1"/>
    <xf numFmtId="0" fontId="3" fillId="0" borderId="10" xfId="0" applyFont="1" applyBorder="1"/>
    <xf numFmtId="0" fontId="3" fillId="0" borderId="0" xfId="0" applyFont="1" applyBorder="1"/>
    <xf numFmtId="164" fontId="3" fillId="0" borderId="11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1" xfId="0" applyFont="1" applyBorder="1"/>
    <xf numFmtId="9" fontId="3" fillId="0" borderId="9" xfId="0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2" fontId="3" fillId="0" borderId="1" xfId="0" applyNumberFormat="1" applyFont="1" applyBorder="1" applyAlignment="1"/>
    <xf numFmtId="3" fontId="2" fillId="0" borderId="0" xfId="0" applyNumberFormat="1" applyFont="1" applyAlignment="1"/>
    <xf numFmtId="37" fontId="3" fillId="0" borderId="0" xfId="0" applyNumberFormat="1" applyFont="1"/>
    <xf numFmtId="37" fontId="3" fillId="0" borderId="0" xfId="0" applyNumberFormat="1" applyFont="1" applyAlignment="1"/>
    <xf numFmtId="37" fontId="3" fillId="0" borderId="1" xfId="0" applyNumberFormat="1" applyFont="1" applyBorder="1" applyAlignment="1"/>
    <xf numFmtId="37" fontId="2" fillId="0" borderId="0" xfId="0" applyNumberFormat="1" applyFont="1" applyAlignment="1"/>
    <xf numFmtId="0" fontId="2" fillId="0" borderId="2" xfId="0" applyFont="1" applyBorder="1"/>
    <xf numFmtId="37" fontId="2" fillId="0" borderId="2" xfId="0" applyNumberFormat="1" applyFont="1" applyBorder="1"/>
    <xf numFmtId="10" fontId="3" fillId="0" borderId="0" xfId="1" applyNumberFormat="1" applyFont="1"/>
    <xf numFmtId="37" fontId="3" fillId="0" borderId="0" xfId="0" applyNumberFormat="1" applyFont="1" applyBorder="1"/>
    <xf numFmtId="0" fontId="2" fillId="0" borderId="2" xfId="0" applyFont="1" applyFill="1" applyBorder="1"/>
    <xf numFmtId="0" fontId="2" fillId="0" borderId="3" xfId="0" applyFont="1" applyBorder="1"/>
    <xf numFmtId="164" fontId="2" fillId="0" borderId="4" xfId="0" applyNumberFormat="1" applyFont="1" applyBorder="1"/>
    <xf numFmtId="37" fontId="3" fillId="0" borderId="6" xfId="0" applyNumberFormat="1" applyFont="1" applyBorder="1"/>
    <xf numFmtId="37" fontId="3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3" fillId="0" borderId="0" xfId="0" applyFont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9" fillId="3" borderId="0" xfId="0" applyFont="1" applyFill="1"/>
    <xf numFmtId="0" fontId="6" fillId="3" borderId="0" xfId="0" applyFont="1" applyFill="1"/>
    <xf numFmtId="0" fontId="4" fillId="3" borderId="0" xfId="0" applyFont="1" applyFill="1"/>
    <xf numFmtId="0" fontId="10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0" borderId="0" xfId="0" applyFont="1" applyBorder="1" applyAlignment="1">
      <alignment horizontal="left" indent="2"/>
    </xf>
    <xf numFmtId="0" fontId="2" fillId="0" borderId="0" xfId="0" applyFont="1" applyFill="1" applyBorder="1"/>
    <xf numFmtId="37" fontId="2" fillId="0" borderId="0" xfId="0" applyNumberFormat="1" applyFont="1" applyBorder="1"/>
    <xf numFmtId="0" fontId="2" fillId="0" borderId="6" xfId="0" applyFont="1" applyBorder="1"/>
    <xf numFmtId="0" fontId="10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1" xfId="0" applyFont="1" applyBorder="1" applyAlignment="1">
      <alignment horizontal="left" indent="3"/>
    </xf>
    <xf numFmtId="0" fontId="6" fillId="0" borderId="0" xfId="0" applyFont="1" applyFill="1"/>
    <xf numFmtId="0" fontId="4" fillId="0" borderId="0" xfId="0" applyFont="1" applyFill="1"/>
    <xf numFmtId="0" fontId="3" fillId="0" borderId="6" xfId="0" applyFont="1" applyBorder="1" applyAlignment="1">
      <alignment horizontal="left" indent="3"/>
    </xf>
    <xf numFmtId="0" fontId="3" fillId="0" borderId="0" xfId="0" applyFont="1" applyBorder="1" applyAlignment="1">
      <alignment horizontal="left" indent="1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12" fillId="0" borderId="0" xfId="0" applyFont="1"/>
    <xf numFmtId="3" fontId="4" fillId="0" borderId="0" xfId="0" applyNumberFormat="1" applyFont="1" applyAlignment="1">
      <alignment horizontal="center"/>
    </xf>
    <xf numFmtId="164" fontId="3" fillId="0" borderId="0" xfId="1" applyNumberFormat="1" applyFont="1"/>
    <xf numFmtId="3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10" fontId="4" fillId="0" borderId="0" xfId="1" applyNumberFormat="1" applyFont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64" fontId="9" fillId="0" borderId="0" xfId="1" applyNumberFormat="1" applyFont="1" applyAlignment="1">
      <alignment horizontal="center"/>
    </xf>
    <xf numFmtId="165" fontId="3" fillId="0" borderId="0" xfId="0" applyNumberFormat="1" applyFont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39" fontId="3" fillId="0" borderId="0" xfId="0" applyNumberFormat="1" applyFont="1"/>
    <xf numFmtId="37" fontId="2" fillId="0" borderId="6" xfId="0" applyNumberFormat="1" applyFont="1" applyBorder="1"/>
    <xf numFmtId="0" fontId="3" fillId="0" borderId="9" xfId="0" applyFont="1" applyBorder="1"/>
    <xf numFmtId="0" fontId="2" fillId="0" borderId="11" xfId="0" applyFont="1" applyBorder="1" applyAlignment="1">
      <alignment horizontal="right"/>
    </xf>
    <xf numFmtId="9" fontId="3" fillId="0" borderId="0" xfId="0" applyNumberFormat="1" applyFont="1" applyAlignment="1">
      <alignment horizontal="center"/>
    </xf>
    <xf numFmtId="9" fontId="3" fillId="0" borderId="0" xfId="0" applyNumberFormat="1" applyFont="1"/>
    <xf numFmtId="10" fontId="3" fillId="0" borderId="0" xfId="0" applyNumberFormat="1" applyFont="1"/>
    <xf numFmtId="0" fontId="3" fillId="0" borderId="0" xfId="0" applyFont="1" applyAlignment="1"/>
    <xf numFmtId="9" fontId="3" fillId="0" borderId="0" xfId="1" applyFont="1" applyAlignment="1"/>
    <xf numFmtId="9" fontId="3" fillId="0" borderId="0" xfId="0" applyNumberFormat="1" applyFont="1" applyAlignment="1"/>
    <xf numFmtId="37" fontId="7" fillId="0" borderId="0" xfId="0" applyNumberFormat="1" applyFont="1"/>
    <xf numFmtId="1" fontId="3" fillId="0" borderId="0" xfId="0" applyNumberFormat="1" applyFont="1" applyAlignment="1"/>
    <xf numFmtId="0" fontId="10" fillId="0" borderId="0" xfId="0" applyFont="1"/>
    <xf numFmtId="0" fontId="4" fillId="0" borderId="0" xfId="0" applyFont="1" applyAlignment="1">
      <alignment horizontal="left" indent="1"/>
    </xf>
    <xf numFmtId="0" fontId="4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1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Fill="1" applyBorder="1"/>
    <xf numFmtId="164" fontId="4" fillId="0" borderId="0" xfId="0" applyNumberFormat="1" applyFont="1" applyAlignment="1">
      <alignment horizontal="center"/>
    </xf>
    <xf numFmtId="9" fontId="4" fillId="0" borderId="0" xfId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4" fontId="4" fillId="0" borderId="0" xfId="0" applyNumberFormat="1" applyFont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9" fontId="4" fillId="0" borderId="1" xfId="1" applyFont="1" applyBorder="1" applyAlignment="1">
      <alignment horizontal="center"/>
    </xf>
    <xf numFmtId="0" fontId="9" fillId="0" borderId="0" xfId="0" applyFont="1" applyFill="1" applyBorder="1"/>
    <xf numFmtId="0" fontId="4" fillId="0" borderId="1" xfId="0" applyFont="1" applyBorder="1" applyAlignment="1">
      <alignment horizontal="left"/>
    </xf>
    <xf numFmtId="3" fontId="4" fillId="0" borderId="0" xfId="0" applyNumberFormat="1" applyFont="1" applyAlignment="1"/>
    <xf numFmtId="0" fontId="6" fillId="0" borderId="0" xfId="0" applyFont="1"/>
    <xf numFmtId="6" fontId="4" fillId="0" borderId="0" xfId="0" applyNumberFormat="1" applyFont="1"/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0" fontId="4" fillId="0" borderId="0" xfId="1" applyNumberFormat="1" applyFont="1" applyAlignment="1">
      <alignment horizontal="right"/>
    </xf>
    <xf numFmtId="10" fontId="4" fillId="0" borderId="1" xfId="1" applyNumberFormat="1" applyFont="1" applyBorder="1" applyAlignment="1">
      <alignment horizontal="right"/>
    </xf>
    <xf numFmtId="10" fontId="4" fillId="0" borderId="0" xfId="0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3" fontId="4" fillId="0" borderId="0" xfId="0" applyNumberFormat="1" applyFont="1"/>
    <xf numFmtId="0" fontId="2" fillId="0" borderId="1" xfId="0" applyFont="1" applyBorder="1" applyAlignment="1"/>
    <xf numFmtId="0" fontId="9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0" fontId="3" fillId="0" borderId="2" xfId="0" applyFont="1" applyBorder="1"/>
    <xf numFmtId="37" fontId="3" fillId="0" borderId="2" xfId="0" applyNumberFormat="1" applyFont="1" applyBorder="1"/>
    <xf numFmtId="0" fontId="3" fillId="0" borderId="12" xfId="0" applyFont="1" applyBorder="1"/>
    <xf numFmtId="37" fontId="3" fillId="0" borderId="12" xfId="0" applyNumberFormat="1" applyFont="1" applyBorder="1"/>
    <xf numFmtId="0" fontId="3" fillId="0" borderId="6" xfId="0" applyFont="1" applyBorder="1" applyAlignment="1">
      <alignment horizontal="left" indent="1"/>
    </xf>
    <xf numFmtId="0" fontId="9" fillId="0" borderId="0" xfId="0" applyFont="1" applyFill="1"/>
    <xf numFmtId="167" fontId="3" fillId="0" borderId="0" xfId="0" applyNumberFormat="1" applyFont="1"/>
    <xf numFmtId="167" fontId="3" fillId="0" borderId="6" xfId="0" applyNumberFormat="1" applyFont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37" fontId="13" fillId="0" borderId="0" xfId="0" applyNumberFormat="1" applyFont="1"/>
    <xf numFmtId="0" fontId="9" fillId="0" borderId="0" xfId="0" applyFont="1"/>
    <xf numFmtId="0" fontId="14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left" indent="1"/>
    </xf>
    <xf numFmtId="0" fontId="2" fillId="0" borderId="0" xfId="0" applyFont="1" applyBorder="1"/>
    <xf numFmtId="167" fontId="2" fillId="0" borderId="17" xfId="0" applyNumberFormat="1" applyFont="1" applyBorder="1"/>
    <xf numFmtId="0" fontId="2" fillId="0" borderId="18" xfId="0" applyFont="1" applyBorder="1" applyAlignment="1">
      <alignment horizontal="left" indent="1"/>
    </xf>
    <xf numFmtId="0" fontId="2" fillId="0" borderId="19" xfId="0" applyFont="1" applyBorder="1"/>
    <xf numFmtId="167" fontId="2" fillId="0" borderId="20" xfId="0" applyNumberFormat="1" applyFont="1" applyBorder="1"/>
    <xf numFmtId="167" fontId="3" fillId="0" borderId="0" xfId="0" applyNumberFormat="1" applyFont="1" applyFill="1" applyBorder="1"/>
    <xf numFmtId="37" fontId="3" fillId="0" borderId="0" xfId="0" applyNumberFormat="1" applyFont="1" applyFill="1" applyBorder="1"/>
    <xf numFmtId="37" fontId="3" fillId="0" borderId="0" xfId="0" applyNumberFormat="1" applyFont="1" applyFill="1"/>
    <xf numFmtId="0" fontId="3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37" fontId="3" fillId="0" borderId="2" xfId="0" applyNumberFormat="1" applyFont="1" applyBorder="1" applyAlignment="1"/>
    <xf numFmtId="37" fontId="3" fillId="0" borderId="12" xfId="0" applyNumberFormat="1" applyFont="1" applyBorder="1" applyAlignment="1"/>
    <xf numFmtId="3" fontId="3" fillId="0" borderId="12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7" fontId="3" fillId="0" borderId="0" xfId="0" applyNumberFormat="1" applyFont="1" applyBorder="1" applyAlignment="1"/>
    <xf numFmtId="37" fontId="10" fillId="0" borderId="0" xfId="0" applyNumberFormat="1" applyFont="1"/>
    <xf numFmtId="9" fontId="3" fillId="0" borderId="6" xfId="0" applyNumberFormat="1" applyFont="1" applyBorder="1"/>
    <xf numFmtId="37" fontId="3" fillId="0" borderId="0" xfId="0" applyNumberFormat="1" applyFont="1" applyFill="1" applyAlignment="1"/>
    <xf numFmtId="37" fontId="3" fillId="0" borderId="6" xfId="0" applyNumberFormat="1" applyFont="1" applyBorder="1" applyAlignment="1"/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showGridLines="0" zoomScale="85" zoomScaleNormal="85" workbookViewId="0"/>
  </sheetViews>
  <sheetFormatPr defaultColWidth="9.109375" defaultRowHeight="13.8" x14ac:dyDescent="0.25"/>
  <cols>
    <col min="1" max="1" width="2.6640625" style="2" customWidth="1"/>
    <col min="2" max="2" width="19.5546875" style="2" bestFit="1" customWidth="1"/>
    <col min="3" max="3" width="6.44140625" style="2" bestFit="1" customWidth="1"/>
    <col min="4" max="4" width="24.33203125" style="2" bestFit="1" customWidth="1"/>
    <col min="5" max="5" width="8.109375" style="2" bestFit="1" customWidth="1"/>
    <col min="6" max="6" width="2.6640625" style="2" customWidth="1"/>
    <col min="7" max="7" width="26.44140625" style="2" bestFit="1" customWidth="1"/>
    <col min="8" max="8" width="7" style="2" bestFit="1" customWidth="1"/>
    <col min="9" max="9" width="7.6640625" style="2" bestFit="1" customWidth="1"/>
    <col min="10" max="10" width="2.6640625" style="2" customWidth="1"/>
    <col min="11" max="11" width="15.5546875" style="2" bestFit="1" customWidth="1"/>
    <col min="12" max="12" width="8.6640625" style="2" bestFit="1" customWidth="1"/>
    <col min="13" max="13" width="8.109375" style="2" bestFit="1" customWidth="1"/>
    <col min="14" max="16384" width="9.109375" style="2"/>
  </cols>
  <sheetData>
    <row r="1" spans="1:25" ht="16.8" x14ac:dyDescent="0.3">
      <c r="A1" s="66" t="s">
        <v>0</v>
      </c>
    </row>
    <row r="2" spans="1:25" x14ac:dyDescent="0.25">
      <c r="A2" s="2" t="s">
        <v>1</v>
      </c>
    </row>
    <row r="4" spans="1:25" x14ac:dyDescent="0.25">
      <c r="A4" s="35"/>
      <c r="B4" s="35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75"/>
      <c r="O4" s="75"/>
      <c r="P4" s="75"/>
      <c r="Q4" s="75"/>
      <c r="R4" s="75"/>
      <c r="S4" s="75"/>
      <c r="T4" s="75"/>
      <c r="U4" s="75"/>
      <c r="V4" s="75"/>
      <c r="W4" s="75"/>
      <c r="X4" s="76"/>
      <c r="Y4" s="76"/>
    </row>
    <row r="6" spans="1:25" x14ac:dyDescent="0.25">
      <c r="B6" s="120" t="s">
        <v>2</v>
      </c>
      <c r="C6" s="13"/>
      <c r="D6" s="13"/>
      <c r="E6" s="13"/>
      <c r="G6" s="120" t="s">
        <v>211</v>
      </c>
      <c r="H6" s="153" t="s">
        <v>132</v>
      </c>
      <c r="K6" s="118" t="s">
        <v>13</v>
      </c>
      <c r="L6" s="13"/>
      <c r="M6" s="13"/>
    </row>
    <row r="7" spans="1:25" x14ac:dyDescent="0.25">
      <c r="B7" s="91" t="s">
        <v>3</v>
      </c>
      <c r="C7" s="54">
        <v>88</v>
      </c>
      <c r="D7" s="6" t="s">
        <v>147</v>
      </c>
      <c r="E7" s="6"/>
      <c r="F7" s="6"/>
      <c r="G7" s="6" t="s">
        <v>56</v>
      </c>
      <c r="H7" s="55">
        <v>0.33600000000000002</v>
      </c>
      <c r="I7" s="6"/>
      <c r="J7" s="6"/>
      <c r="K7" s="91" t="s">
        <v>36</v>
      </c>
      <c r="L7" s="67">
        <f>Debt!D33</f>
        <v>271865.67260116036</v>
      </c>
      <c r="M7" s="7">
        <f>L7/$L$9</f>
        <v>0.85283164753485285</v>
      </c>
      <c r="N7" s="6"/>
    </row>
    <row r="8" spans="1:25" x14ac:dyDescent="0.25">
      <c r="B8" s="92" t="s">
        <v>4</v>
      </c>
      <c r="C8" s="93">
        <v>2.2999999999999998</v>
      </c>
      <c r="D8" s="94" t="s">
        <v>62</v>
      </c>
      <c r="E8" s="6"/>
      <c r="F8" s="6"/>
      <c r="G8" s="6" t="s">
        <v>57</v>
      </c>
      <c r="H8" s="55">
        <v>0.32200000000000001</v>
      </c>
      <c r="I8" s="6"/>
      <c r="J8" s="6"/>
      <c r="K8" s="92" t="s">
        <v>37</v>
      </c>
      <c r="L8" s="69">
        <f>D19-L7</f>
        <v>46914.327398839581</v>
      </c>
      <c r="M8" s="95">
        <f>L8/$L$9</f>
        <v>0.14716835246514709</v>
      </c>
      <c r="N8" s="6"/>
    </row>
    <row r="9" spans="1:25" x14ac:dyDescent="0.25">
      <c r="B9" s="96" t="s">
        <v>5</v>
      </c>
      <c r="C9" s="122">
        <f>PRODUCT(C7:C8)</f>
        <v>202.39999999999998</v>
      </c>
      <c r="D9" s="6" t="s">
        <v>62</v>
      </c>
      <c r="E9" s="6"/>
      <c r="F9" s="6"/>
      <c r="G9" s="6" t="s">
        <v>58</v>
      </c>
      <c r="H9" s="55">
        <v>0.30399999999999999</v>
      </c>
      <c r="I9" s="6"/>
      <c r="J9" s="6"/>
      <c r="K9" s="97" t="s">
        <v>15</v>
      </c>
      <c r="L9" s="67">
        <f>SUM(L7:L8)</f>
        <v>318779.99999999994</v>
      </c>
      <c r="M9" s="7">
        <f>L9/$L$9</f>
        <v>1</v>
      </c>
      <c r="N9" s="6"/>
    </row>
    <row r="10" spans="1:25" x14ac:dyDescent="0.25">
      <c r="B10" s="6"/>
      <c r="C10" s="6"/>
      <c r="D10" s="6"/>
      <c r="E10" s="6"/>
      <c r="F10" s="6"/>
      <c r="G10" s="6" t="s">
        <v>59</v>
      </c>
      <c r="H10" s="55">
        <v>0.28599999999999998</v>
      </c>
      <c r="I10" s="6"/>
      <c r="J10" s="6"/>
      <c r="K10" s="6"/>
      <c r="L10" s="6"/>
      <c r="M10" s="6"/>
      <c r="N10" s="6"/>
    </row>
    <row r="11" spans="1:25" x14ac:dyDescent="0.25">
      <c r="B11" s="119" t="s">
        <v>6</v>
      </c>
      <c r="C11" s="104" t="s">
        <v>11</v>
      </c>
      <c r="D11" s="104" t="s">
        <v>12</v>
      </c>
      <c r="E11" s="104" t="s">
        <v>17</v>
      </c>
      <c r="F11" s="6"/>
      <c r="G11" s="6" t="s">
        <v>60</v>
      </c>
      <c r="H11" s="55">
        <v>0.27300000000000002</v>
      </c>
      <c r="I11" s="6"/>
      <c r="J11" s="6"/>
      <c r="K11" s="119" t="s">
        <v>22</v>
      </c>
      <c r="L11" s="94"/>
      <c r="M11" s="6"/>
      <c r="N11" s="6"/>
    </row>
    <row r="12" spans="1:25" x14ac:dyDescent="0.25">
      <c r="B12" s="91" t="s">
        <v>7</v>
      </c>
      <c r="C12" s="67">
        <v>1000</v>
      </c>
      <c r="D12" s="67">
        <f t="shared" ref="D12:D19" si="0">C12*$C$9</f>
        <v>202399.99999999997</v>
      </c>
      <c r="E12" s="98">
        <f t="shared" ref="E12:E19" si="1">D12/$D$19</f>
        <v>0.634920634920635</v>
      </c>
      <c r="F12" s="6"/>
      <c r="G12" s="6"/>
      <c r="H12" s="6"/>
      <c r="I12" s="6"/>
      <c r="J12" s="6"/>
      <c r="K12" s="91" t="s">
        <v>18</v>
      </c>
      <c r="L12" s="99">
        <v>0.21</v>
      </c>
      <c r="M12" s="6"/>
      <c r="N12" s="6"/>
    </row>
    <row r="13" spans="1:25" x14ac:dyDescent="0.25">
      <c r="B13" s="91" t="s">
        <v>8</v>
      </c>
      <c r="C13" s="67">
        <v>300</v>
      </c>
      <c r="D13" s="67">
        <f t="shared" si="0"/>
        <v>60719.999999999993</v>
      </c>
      <c r="E13" s="98">
        <f t="shared" si="1"/>
        <v>0.19047619047619049</v>
      </c>
      <c r="F13" s="6"/>
      <c r="I13" s="6"/>
      <c r="J13" s="6"/>
      <c r="K13" s="91" t="s">
        <v>49</v>
      </c>
      <c r="L13" s="99">
        <v>0</v>
      </c>
      <c r="M13" s="6"/>
      <c r="N13" s="6"/>
    </row>
    <row r="14" spans="1:25" x14ac:dyDescent="0.25">
      <c r="B14" s="91" t="s">
        <v>16</v>
      </c>
      <c r="C14" s="67">
        <v>100</v>
      </c>
      <c r="D14" s="67">
        <f t="shared" si="0"/>
        <v>20239.999999999996</v>
      </c>
      <c r="E14" s="98">
        <f t="shared" si="1"/>
        <v>6.3492063492063489E-2</v>
      </c>
      <c r="F14" s="6"/>
      <c r="G14" s="118" t="s">
        <v>204</v>
      </c>
      <c r="H14" s="13"/>
      <c r="I14" s="6"/>
      <c r="J14" s="6"/>
      <c r="K14" s="6"/>
      <c r="L14" s="6"/>
      <c r="M14" s="6"/>
      <c r="N14" s="6"/>
    </row>
    <row r="15" spans="1:25" x14ac:dyDescent="0.25">
      <c r="B15" s="91" t="s">
        <v>9</v>
      </c>
      <c r="C15" s="67">
        <v>100</v>
      </c>
      <c r="D15" s="67">
        <f t="shared" si="0"/>
        <v>20239.999999999996</v>
      </c>
      <c r="E15" s="98">
        <f t="shared" si="1"/>
        <v>6.3492063492063489E-2</v>
      </c>
      <c r="F15" s="6"/>
      <c r="G15" s="96" t="s">
        <v>123</v>
      </c>
      <c r="H15" s="67">
        <v>55</v>
      </c>
      <c r="I15" s="6"/>
      <c r="J15" s="6"/>
      <c r="K15" s="6"/>
      <c r="L15" s="6"/>
      <c r="M15" s="6"/>
      <c r="N15" s="6"/>
    </row>
    <row r="16" spans="1:25" x14ac:dyDescent="0.25">
      <c r="B16" s="91" t="s">
        <v>10</v>
      </c>
      <c r="C16" s="67">
        <v>75</v>
      </c>
      <c r="D16" s="67">
        <f t="shared" si="0"/>
        <v>15179.999999999998</v>
      </c>
      <c r="E16" s="98">
        <f t="shared" si="1"/>
        <v>4.7619047619047623E-2</v>
      </c>
      <c r="F16" s="6"/>
      <c r="G16" s="96" t="s">
        <v>148</v>
      </c>
      <c r="H16" s="67">
        <v>25</v>
      </c>
      <c r="I16" s="6"/>
      <c r="J16" s="6"/>
      <c r="K16" s="6"/>
      <c r="L16" s="6"/>
      <c r="M16" s="6"/>
      <c r="N16" s="6"/>
    </row>
    <row r="17" spans="2:14" x14ac:dyDescent="0.25">
      <c r="B17" s="91" t="s">
        <v>13</v>
      </c>
      <c r="C17" s="67">
        <v>0</v>
      </c>
      <c r="D17" s="67">
        <f t="shared" si="0"/>
        <v>0</v>
      </c>
      <c r="E17" s="98">
        <f t="shared" si="1"/>
        <v>0</v>
      </c>
      <c r="F17" s="6"/>
      <c r="G17" s="96"/>
      <c r="H17" s="67"/>
      <c r="I17" s="6"/>
      <c r="J17" s="6"/>
      <c r="K17" s="6"/>
      <c r="L17" s="6"/>
      <c r="M17" s="6"/>
      <c r="N17" s="6"/>
    </row>
    <row r="18" spans="2:14" x14ac:dyDescent="0.25">
      <c r="B18" s="92" t="s">
        <v>14</v>
      </c>
      <c r="C18" s="69">
        <v>0</v>
      </c>
      <c r="D18" s="69">
        <f t="shared" si="0"/>
        <v>0</v>
      </c>
      <c r="E18" s="100">
        <f t="shared" si="1"/>
        <v>0</v>
      </c>
      <c r="F18" s="6"/>
      <c r="G18" s="6"/>
      <c r="H18" s="6"/>
      <c r="I18" s="6"/>
      <c r="J18" s="6"/>
      <c r="K18" s="6"/>
      <c r="L18" s="6"/>
      <c r="M18" s="6"/>
      <c r="N18" s="6"/>
    </row>
    <row r="19" spans="2:14" x14ac:dyDescent="0.25">
      <c r="B19" s="101" t="s">
        <v>15</v>
      </c>
      <c r="C19" s="67">
        <f>SUM(C12:C18)</f>
        <v>1575</v>
      </c>
      <c r="D19" s="67">
        <f t="shared" si="0"/>
        <v>318779.99999999994</v>
      </c>
      <c r="E19" s="98">
        <f t="shared" si="1"/>
        <v>1</v>
      </c>
      <c r="F19" s="6"/>
      <c r="G19" s="6"/>
      <c r="H19" s="6"/>
      <c r="I19" s="6"/>
      <c r="J19" s="6"/>
      <c r="K19" s="91"/>
      <c r="L19" s="99"/>
      <c r="M19" s="6"/>
      <c r="N19" s="6"/>
    </row>
    <row r="20" spans="2:14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2:14" x14ac:dyDescent="0.25">
      <c r="B21" s="119" t="s">
        <v>23</v>
      </c>
      <c r="C21" s="94"/>
      <c r="D21" s="94"/>
      <c r="E21" s="94"/>
      <c r="F21" s="6"/>
      <c r="G21" s="118" t="s">
        <v>203</v>
      </c>
      <c r="H21" s="13"/>
      <c r="I21" s="6"/>
      <c r="J21" s="6"/>
      <c r="K21" s="6"/>
      <c r="L21" s="6"/>
      <c r="M21" s="6"/>
      <c r="N21" s="6"/>
    </row>
    <row r="22" spans="2:14" x14ac:dyDescent="0.25">
      <c r="B22" s="91" t="s">
        <v>28</v>
      </c>
      <c r="C22" s="99">
        <v>0.03</v>
      </c>
      <c r="D22" s="6" t="s">
        <v>29</v>
      </c>
      <c r="E22" s="6"/>
      <c r="F22" s="6"/>
      <c r="G22" s="96" t="s">
        <v>149</v>
      </c>
      <c r="H22" s="67">
        <v>18</v>
      </c>
      <c r="I22" s="6"/>
      <c r="J22" s="6"/>
      <c r="K22" s="6"/>
      <c r="L22" s="6"/>
      <c r="M22" s="6"/>
      <c r="N22" s="6"/>
    </row>
    <row r="23" spans="2:14" x14ac:dyDescent="0.25">
      <c r="B23" s="91" t="s">
        <v>25</v>
      </c>
      <c r="C23" s="102">
        <v>6.25</v>
      </c>
      <c r="D23" s="6" t="s">
        <v>24</v>
      </c>
      <c r="E23" s="6"/>
      <c r="F23" s="6"/>
      <c r="G23" s="6" t="s">
        <v>63</v>
      </c>
      <c r="H23" s="112">
        <v>1.3</v>
      </c>
      <c r="I23" s="6"/>
      <c r="J23" s="6"/>
      <c r="K23" s="6"/>
      <c r="L23" s="6"/>
      <c r="M23" s="6"/>
      <c r="N23" s="6"/>
    </row>
    <row r="24" spans="2:14" x14ac:dyDescent="0.25">
      <c r="B24" s="91" t="s">
        <v>8</v>
      </c>
      <c r="C24" s="102">
        <v>2</v>
      </c>
      <c r="D24" s="6" t="s">
        <v>24</v>
      </c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2:14" x14ac:dyDescent="0.25">
      <c r="B25" s="91" t="s">
        <v>26</v>
      </c>
      <c r="C25" s="102">
        <v>0.4</v>
      </c>
      <c r="D25" s="6" t="s">
        <v>24</v>
      </c>
      <c r="E25" s="6"/>
      <c r="F25" s="6"/>
      <c r="G25" s="118" t="s">
        <v>205</v>
      </c>
      <c r="H25" s="13"/>
      <c r="I25" s="6"/>
      <c r="J25" s="6"/>
      <c r="K25" s="6"/>
      <c r="L25" s="6"/>
      <c r="M25" s="6"/>
      <c r="N25" s="6"/>
    </row>
    <row r="26" spans="2:14" x14ac:dyDescent="0.25">
      <c r="B26" s="91" t="s">
        <v>27</v>
      </c>
      <c r="C26" s="102">
        <v>1.25</v>
      </c>
      <c r="D26" s="6" t="s">
        <v>24</v>
      </c>
      <c r="E26" s="6"/>
      <c r="F26" s="6"/>
      <c r="G26" s="96" t="s">
        <v>149</v>
      </c>
      <c r="H26" s="67">
        <v>10</v>
      </c>
      <c r="I26" s="6"/>
      <c r="J26" s="6"/>
      <c r="K26" s="6"/>
      <c r="L26" s="6"/>
      <c r="M26" s="6"/>
      <c r="N26" s="6"/>
    </row>
    <row r="27" spans="2:14" x14ac:dyDescent="0.25">
      <c r="B27" s="91" t="s">
        <v>30</v>
      </c>
      <c r="C27" s="102">
        <v>1</v>
      </c>
      <c r="D27" s="6" t="s">
        <v>24</v>
      </c>
      <c r="E27" s="6"/>
      <c r="F27" s="6"/>
      <c r="G27" s="6" t="s">
        <v>63</v>
      </c>
      <c r="H27" s="112">
        <v>1.5</v>
      </c>
      <c r="I27" s="6"/>
      <c r="J27" s="6"/>
      <c r="K27" s="6"/>
      <c r="L27" s="6"/>
      <c r="M27" s="6"/>
      <c r="N27" s="6"/>
    </row>
    <row r="28" spans="2:14" x14ac:dyDescent="0.25">
      <c r="B28" s="91" t="s">
        <v>31</v>
      </c>
      <c r="C28" s="102">
        <v>2</v>
      </c>
      <c r="D28" s="6" t="s">
        <v>24</v>
      </c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2:14" x14ac:dyDescent="0.25">
      <c r="B29" s="91" t="s">
        <v>32</v>
      </c>
      <c r="C29" s="102">
        <v>1</v>
      </c>
      <c r="D29" s="6" t="s">
        <v>24</v>
      </c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2:14" x14ac:dyDescent="0.25">
      <c r="B30" s="91" t="s">
        <v>16</v>
      </c>
      <c r="C30" s="99">
        <v>0.05</v>
      </c>
      <c r="D30" s="6" t="s">
        <v>33</v>
      </c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2:14" x14ac:dyDescent="0.25">
      <c r="B31" s="91" t="s">
        <v>19</v>
      </c>
      <c r="C31" s="55">
        <v>2.5000000000000001E-2</v>
      </c>
      <c r="D31" s="6" t="s">
        <v>17</v>
      </c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2:14" x14ac:dyDescent="0.25">
      <c r="B32" s="91" t="s">
        <v>34</v>
      </c>
      <c r="C32" s="67">
        <v>5</v>
      </c>
      <c r="D32" s="6" t="s">
        <v>35</v>
      </c>
      <c r="E32" s="6"/>
      <c r="F32" s="6"/>
      <c r="G32" s="6"/>
      <c r="H32" s="6"/>
      <c r="I32" s="6"/>
      <c r="J32" s="6"/>
      <c r="K32" s="6"/>
      <c r="L32" s="6"/>
      <c r="M32" s="6"/>
      <c r="N32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6"/>
  <sheetViews>
    <sheetView showGridLines="0" topLeftCell="A91" zoomScale="85" zoomScaleNormal="85" workbookViewId="0">
      <selection activeCell="P129" sqref="P129"/>
    </sheetView>
  </sheetViews>
  <sheetFormatPr defaultColWidth="9.109375" defaultRowHeight="13.8" x14ac:dyDescent="0.25"/>
  <cols>
    <col min="1" max="1" width="2.6640625" style="2" customWidth="1"/>
    <col min="2" max="2" width="28.33203125" style="2" customWidth="1"/>
    <col min="3" max="3" width="10" style="2" bestFit="1" customWidth="1"/>
    <col min="4" max="4" width="8.88671875" style="2" bestFit="1" customWidth="1"/>
    <col min="5" max="5" width="10" style="2" bestFit="1" customWidth="1"/>
    <col min="6" max="6" width="8.88671875" style="2" bestFit="1" customWidth="1"/>
    <col min="7" max="13" width="9.109375" style="2" bestFit="1" customWidth="1"/>
    <col min="14" max="23" width="8.88671875" style="2" bestFit="1" customWidth="1"/>
    <col min="24" max="16384" width="9.109375" style="2"/>
  </cols>
  <sheetData>
    <row r="1" spans="1:28" ht="16.8" x14ac:dyDescent="0.3">
      <c r="A1" s="66" t="s">
        <v>0</v>
      </c>
    </row>
    <row r="2" spans="1:28" x14ac:dyDescent="0.25">
      <c r="A2" s="2" t="s">
        <v>187</v>
      </c>
    </row>
    <row r="3" spans="1:28" ht="15.6" x14ac:dyDescent="0.4">
      <c r="A3" s="1"/>
      <c r="F3" s="57" t="s">
        <v>133</v>
      </c>
      <c r="G3" s="58" t="s">
        <v>132</v>
      </c>
      <c r="H3" s="59" t="s">
        <v>134</v>
      </c>
    </row>
    <row r="4" spans="1:28" x14ac:dyDescent="0.25">
      <c r="B4" s="3" t="s">
        <v>5</v>
      </c>
      <c r="C4" s="4"/>
      <c r="D4" s="5">
        <f>Assumptions!C9</f>
        <v>202.39999999999998</v>
      </c>
      <c r="F4" s="60" t="str">
        <f>Assumptions!G7</f>
        <v>P50</v>
      </c>
      <c r="G4" s="61">
        <f>Assumptions!H7</f>
        <v>0.33600000000000002</v>
      </c>
      <c r="H4" s="62">
        <f>8760*G4*$D$4</f>
        <v>595736.06400000001</v>
      </c>
    </row>
    <row r="5" spans="1:28" x14ac:dyDescent="0.25">
      <c r="B5" s="9" t="s">
        <v>61</v>
      </c>
      <c r="C5" s="10"/>
      <c r="D5" s="103" t="s">
        <v>56</v>
      </c>
      <c r="F5" s="60" t="str">
        <f>Assumptions!G8</f>
        <v>P75</v>
      </c>
      <c r="G5" s="61">
        <f>Assumptions!H8</f>
        <v>0.32200000000000001</v>
      </c>
      <c r="H5" s="62">
        <f>8760*G5*$D$4</f>
        <v>570913.728</v>
      </c>
    </row>
    <row r="6" spans="1:28" x14ac:dyDescent="0.25">
      <c r="B6" s="9" t="s">
        <v>40</v>
      </c>
      <c r="C6" s="10"/>
      <c r="D6" s="11">
        <f>Assumptions!C31</f>
        <v>2.5000000000000001E-2</v>
      </c>
      <c r="F6" s="60" t="str">
        <f>Assumptions!G9</f>
        <v>P90</v>
      </c>
      <c r="G6" s="61">
        <f>Assumptions!H9</f>
        <v>0.30399999999999999</v>
      </c>
      <c r="H6" s="62">
        <f>8760*G6*$D$4</f>
        <v>538999.29599999997</v>
      </c>
    </row>
    <row r="7" spans="1:28" x14ac:dyDescent="0.25">
      <c r="B7" s="12" t="s">
        <v>48</v>
      </c>
      <c r="C7" s="13"/>
      <c r="D7" s="14">
        <f>Assumptions!$L$12</f>
        <v>0.21</v>
      </c>
      <c r="F7" s="60" t="str">
        <f>Assumptions!G10</f>
        <v>P95</v>
      </c>
      <c r="G7" s="61">
        <f>Assumptions!H10</f>
        <v>0.28599999999999998</v>
      </c>
      <c r="H7" s="62">
        <f>8760*G7*$D$4</f>
        <v>507084.86399999988</v>
      </c>
    </row>
    <row r="8" spans="1:28" x14ac:dyDescent="0.25">
      <c r="F8" s="63" t="str">
        <f>Assumptions!G11</f>
        <v>P99</v>
      </c>
      <c r="G8" s="64">
        <f>Assumptions!H11</f>
        <v>0.27300000000000002</v>
      </c>
      <c r="H8" s="65">
        <f>8760*G8*$D$4</f>
        <v>484035.55199999997</v>
      </c>
    </row>
    <row r="9" spans="1:28" x14ac:dyDescent="0.25">
      <c r="F9" s="6"/>
      <c r="G9" s="7"/>
      <c r="H9" s="8"/>
    </row>
    <row r="10" spans="1:28" x14ac:dyDescent="0.25">
      <c r="A10" s="35"/>
      <c r="B10" s="35" t="s">
        <v>130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</row>
    <row r="12" spans="1:28" x14ac:dyDescent="0.25">
      <c r="B12" s="33" t="s">
        <v>116</v>
      </c>
      <c r="C12" s="121"/>
      <c r="D12" s="121">
        <v>1</v>
      </c>
      <c r="E12" s="121">
        <f>D12+1</f>
        <v>2</v>
      </c>
      <c r="F12" s="121">
        <f t="shared" ref="F12:W12" si="0">E12+1</f>
        <v>3</v>
      </c>
      <c r="G12" s="121">
        <f t="shared" si="0"/>
        <v>4</v>
      </c>
      <c r="H12" s="121">
        <f t="shared" si="0"/>
        <v>5</v>
      </c>
      <c r="I12" s="121">
        <f t="shared" si="0"/>
        <v>6</v>
      </c>
      <c r="J12" s="121">
        <f t="shared" si="0"/>
        <v>7</v>
      </c>
      <c r="K12" s="121">
        <f t="shared" si="0"/>
        <v>8</v>
      </c>
      <c r="L12" s="121">
        <f t="shared" si="0"/>
        <v>9</v>
      </c>
      <c r="M12" s="121">
        <f t="shared" si="0"/>
        <v>10</v>
      </c>
      <c r="N12" s="121">
        <f t="shared" si="0"/>
        <v>11</v>
      </c>
      <c r="O12" s="121">
        <f t="shared" si="0"/>
        <v>12</v>
      </c>
      <c r="P12" s="121">
        <f t="shared" si="0"/>
        <v>13</v>
      </c>
      <c r="Q12" s="121">
        <f t="shared" si="0"/>
        <v>14</v>
      </c>
      <c r="R12" s="121">
        <f t="shared" si="0"/>
        <v>15</v>
      </c>
      <c r="S12" s="121">
        <f t="shared" si="0"/>
        <v>16</v>
      </c>
      <c r="T12" s="121">
        <f t="shared" si="0"/>
        <v>17</v>
      </c>
      <c r="U12" s="121">
        <f t="shared" si="0"/>
        <v>18</v>
      </c>
      <c r="V12" s="121">
        <f t="shared" si="0"/>
        <v>19</v>
      </c>
      <c r="W12" s="121">
        <f t="shared" si="0"/>
        <v>20</v>
      </c>
      <c r="X12" s="148">
        <f>W12+1</f>
        <v>21</v>
      </c>
      <c r="Y12" s="148">
        <f>X12+1</f>
        <v>22</v>
      </c>
      <c r="Z12" s="148">
        <f>Y12+1</f>
        <v>23</v>
      </c>
      <c r="AA12" s="148">
        <f>Z12+1</f>
        <v>24</v>
      </c>
      <c r="AB12" s="148">
        <f>AA12+1</f>
        <v>25</v>
      </c>
    </row>
    <row r="13" spans="1:28" x14ac:dyDescent="0.25">
      <c r="B13" s="15"/>
      <c r="C13" s="15"/>
    </row>
    <row r="14" spans="1:28" x14ac:dyDescent="0.25">
      <c r="B14" s="50" t="s">
        <v>115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</row>
    <row r="15" spans="1:28" x14ac:dyDescent="0.25">
      <c r="B15" s="36" t="s">
        <v>39</v>
      </c>
      <c r="C15" s="16"/>
      <c r="D15" s="8">
        <f>VLOOKUP($D$5,$F$4:$H$8,3)</f>
        <v>595736.06400000001</v>
      </c>
      <c r="E15" s="8">
        <f t="shared" ref="E15:AB15" si="1">VLOOKUP($D$5,$F$4:$H$8,3)</f>
        <v>595736.06400000001</v>
      </c>
      <c r="F15" s="8">
        <f t="shared" si="1"/>
        <v>595736.06400000001</v>
      </c>
      <c r="G15" s="8">
        <f t="shared" si="1"/>
        <v>595736.06400000001</v>
      </c>
      <c r="H15" s="8">
        <f t="shared" si="1"/>
        <v>595736.06400000001</v>
      </c>
      <c r="I15" s="8">
        <f t="shared" si="1"/>
        <v>595736.06400000001</v>
      </c>
      <c r="J15" s="8">
        <f t="shared" si="1"/>
        <v>595736.06400000001</v>
      </c>
      <c r="K15" s="8">
        <f t="shared" si="1"/>
        <v>595736.06400000001</v>
      </c>
      <c r="L15" s="8">
        <f t="shared" si="1"/>
        <v>595736.06400000001</v>
      </c>
      <c r="M15" s="8">
        <f t="shared" si="1"/>
        <v>595736.06400000001</v>
      </c>
      <c r="N15" s="8">
        <f t="shared" si="1"/>
        <v>595736.06400000001</v>
      </c>
      <c r="O15" s="8">
        <f t="shared" si="1"/>
        <v>595736.06400000001</v>
      </c>
      <c r="P15" s="8">
        <f t="shared" si="1"/>
        <v>595736.06400000001</v>
      </c>
      <c r="Q15" s="8">
        <f t="shared" si="1"/>
        <v>595736.06400000001</v>
      </c>
      <c r="R15" s="8">
        <f t="shared" si="1"/>
        <v>595736.06400000001</v>
      </c>
      <c r="S15" s="8">
        <f t="shared" si="1"/>
        <v>595736.06400000001</v>
      </c>
      <c r="T15" s="8">
        <f t="shared" si="1"/>
        <v>595736.06400000001</v>
      </c>
      <c r="U15" s="8">
        <f t="shared" si="1"/>
        <v>595736.06400000001</v>
      </c>
      <c r="V15" s="8">
        <f t="shared" si="1"/>
        <v>595736.06400000001</v>
      </c>
      <c r="W15" s="8">
        <f t="shared" si="1"/>
        <v>595736.06400000001</v>
      </c>
      <c r="X15" s="8">
        <f t="shared" si="1"/>
        <v>595736.06400000001</v>
      </c>
      <c r="Y15" s="8">
        <f t="shared" si="1"/>
        <v>595736.06400000001</v>
      </c>
      <c r="Z15" s="8">
        <f t="shared" si="1"/>
        <v>595736.06400000001</v>
      </c>
      <c r="AA15" s="8">
        <f t="shared" si="1"/>
        <v>595736.06400000001</v>
      </c>
      <c r="AB15" s="8">
        <f t="shared" si="1"/>
        <v>595736.06400000001</v>
      </c>
    </row>
    <row r="16" spans="1:28" x14ac:dyDescent="0.25">
      <c r="B16" s="37" t="s">
        <v>123</v>
      </c>
      <c r="C16" s="17"/>
      <c r="D16" s="18">
        <f>Assumptions!H15</f>
        <v>55</v>
      </c>
      <c r="E16" s="18">
        <f t="shared" ref="E16:W16" si="2">D16*(1+$D$6)</f>
        <v>56.374999999999993</v>
      </c>
      <c r="F16" s="18">
        <f t="shared" si="2"/>
        <v>57.78437499999999</v>
      </c>
      <c r="G16" s="18">
        <f t="shared" si="2"/>
        <v>59.228984374999982</v>
      </c>
      <c r="H16" s="18">
        <f t="shared" si="2"/>
        <v>60.709708984374977</v>
      </c>
      <c r="I16" s="18">
        <f t="shared" si="2"/>
        <v>62.227451708984347</v>
      </c>
      <c r="J16" s="18">
        <f t="shared" si="2"/>
        <v>63.783138001708949</v>
      </c>
      <c r="K16" s="18">
        <f t="shared" si="2"/>
        <v>65.377716451751667</v>
      </c>
      <c r="L16" s="18">
        <f t="shared" si="2"/>
        <v>67.012159363045456</v>
      </c>
      <c r="M16" s="18">
        <f t="shared" si="2"/>
        <v>68.687463347121593</v>
      </c>
      <c r="N16" s="18">
        <f t="shared" si="2"/>
        <v>70.404649930799621</v>
      </c>
      <c r="O16" s="18">
        <f t="shared" si="2"/>
        <v>72.164766179069602</v>
      </c>
      <c r="P16" s="18">
        <f t="shared" si="2"/>
        <v>73.968885333546339</v>
      </c>
      <c r="Q16" s="18">
        <f t="shared" si="2"/>
        <v>75.818107466884996</v>
      </c>
      <c r="R16" s="18">
        <f t="shared" si="2"/>
        <v>77.713560153557111</v>
      </c>
      <c r="S16" s="18">
        <f t="shared" si="2"/>
        <v>79.656399157396038</v>
      </c>
      <c r="T16" s="18">
        <f t="shared" si="2"/>
        <v>81.647809136330935</v>
      </c>
      <c r="U16" s="18">
        <f t="shared" si="2"/>
        <v>83.689004364739205</v>
      </c>
      <c r="V16" s="18">
        <f t="shared" si="2"/>
        <v>85.781229473857678</v>
      </c>
      <c r="W16" s="18">
        <f t="shared" si="2"/>
        <v>87.925760210704112</v>
      </c>
      <c r="X16" s="18">
        <f>W16*(1+$D$6)</f>
        <v>90.123904215971706</v>
      </c>
      <c r="Y16" s="18">
        <f>X16*(1+$D$6)</f>
        <v>92.377001821370996</v>
      </c>
      <c r="Z16" s="18">
        <f>Y16*(1+$D$6)</f>
        <v>94.686426866905265</v>
      </c>
      <c r="AA16" s="18">
        <f>Z16*(1+$D$6)</f>
        <v>97.053587538577887</v>
      </c>
      <c r="AB16" s="18">
        <f>AA16*(1+$D$6)</f>
        <v>99.479927227042324</v>
      </c>
    </row>
    <row r="17" spans="2:28" x14ac:dyDescent="0.25">
      <c r="B17" s="1" t="s">
        <v>115</v>
      </c>
      <c r="C17" s="1"/>
      <c r="D17" s="19">
        <f>D15*D16/1000</f>
        <v>32765.483519999998</v>
      </c>
      <c r="E17" s="19">
        <f t="shared" ref="E17:W17" si="3">E15*E16/1000</f>
        <v>33584.620607999997</v>
      </c>
      <c r="F17" s="19">
        <f t="shared" si="3"/>
        <v>34424.236123199989</v>
      </c>
      <c r="G17" s="19">
        <f t="shared" si="3"/>
        <v>35284.842026279992</v>
      </c>
      <c r="H17" s="19">
        <f t="shared" si="3"/>
        <v>36166.963076936991</v>
      </c>
      <c r="I17" s="19">
        <f t="shared" si="3"/>
        <v>37071.137153860414</v>
      </c>
      <c r="J17" s="19">
        <f t="shared" si="3"/>
        <v>37997.915582706912</v>
      </c>
      <c r="K17" s="19">
        <f t="shared" si="3"/>
        <v>38947.863472274585</v>
      </c>
      <c r="L17" s="19">
        <f t="shared" si="3"/>
        <v>39921.56005908145</v>
      </c>
      <c r="M17" s="19">
        <f t="shared" si="3"/>
        <v>40919.599060558481</v>
      </c>
      <c r="N17" s="19">
        <f t="shared" si="3"/>
        <v>41942.589037072445</v>
      </c>
      <c r="O17" s="19">
        <f t="shared" si="3"/>
        <v>42991.153762999245</v>
      </c>
      <c r="P17" s="19">
        <f t="shared" si="3"/>
        <v>44065.932607074225</v>
      </c>
      <c r="Q17" s="19">
        <f t="shared" si="3"/>
        <v>45167.580922251072</v>
      </c>
      <c r="R17" s="19">
        <f t="shared" si="3"/>
        <v>46296.770445307353</v>
      </c>
      <c r="S17" s="19">
        <f t="shared" si="3"/>
        <v>47454.189706440033</v>
      </c>
      <c r="T17" s="19">
        <f t="shared" si="3"/>
        <v>48640.544449101028</v>
      </c>
      <c r="U17" s="19">
        <f t="shared" si="3"/>
        <v>49856.558060328556</v>
      </c>
      <c r="V17" s="19">
        <f t="shared" si="3"/>
        <v>51102.97201183677</v>
      </c>
      <c r="W17" s="19">
        <f t="shared" si="3"/>
        <v>52380.546312132676</v>
      </c>
      <c r="X17" s="19">
        <f>X15*X16/1000</f>
        <v>53690.059969935988</v>
      </c>
      <c r="Y17" s="19">
        <f>Y15*Y16/1000</f>
        <v>55032.311469184395</v>
      </c>
      <c r="Z17" s="19">
        <f>Z15*Z16/1000</f>
        <v>56408.119255913996</v>
      </c>
      <c r="AA17" s="19">
        <f>AA15*AA16/1000</f>
        <v>57818.322237311841</v>
      </c>
      <c r="AB17" s="19">
        <f>AB15*AB16/1000</f>
        <v>59263.780293244628</v>
      </c>
    </row>
    <row r="19" spans="2:28" x14ac:dyDescent="0.25">
      <c r="B19" s="50" t="s">
        <v>117</v>
      </c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</row>
    <row r="20" spans="2:28" x14ac:dyDescent="0.25">
      <c r="B20" s="36" t="str">
        <f>Assumptions!B22</f>
        <v>Royalties</v>
      </c>
      <c r="D20" s="20">
        <f>-D17*Assumptions!$C$22</f>
        <v>-982.96450559999994</v>
      </c>
      <c r="E20" s="20">
        <f>-E17*Assumptions!$C$22</f>
        <v>-1007.5386182399999</v>
      </c>
      <c r="F20" s="20">
        <f>-F17*Assumptions!$C$22</f>
        <v>-1032.7270836959997</v>
      </c>
      <c r="G20" s="20">
        <f>-G17*Assumptions!$C$22</f>
        <v>-1058.5452607883997</v>
      </c>
      <c r="H20" s="20">
        <f>-H17*Assumptions!$C$22</f>
        <v>-1085.0088923081096</v>
      </c>
      <c r="I20" s="20">
        <f>-I17*Assumptions!$C$22</f>
        <v>-1112.1341146158125</v>
      </c>
      <c r="J20" s="20">
        <f>-J17*Assumptions!$C$22</f>
        <v>-1139.9374674812072</v>
      </c>
      <c r="K20" s="20">
        <f>-K17*Assumptions!$C$22</f>
        <v>-1168.4359041682376</v>
      </c>
      <c r="L20" s="20">
        <f>-L17*Assumptions!$C$22</f>
        <v>-1197.6468017724435</v>
      </c>
      <c r="M20" s="20">
        <f>-M17*Assumptions!$C$22</f>
        <v>-1227.5879718167544</v>
      </c>
      <c r="N20" s="20">
        <f>-N17*Assumptions!$C$22</f>
        <v>-1258.2776711121733</v>
      </c>
      <c r="O20" s="20">
        <f>-O17*Assumptions!$C$22</f>
        <v>-1289.7346128899774</v>
      </c>
      <c r="P20" s="20">
        <f>-P17*Assumptions!$C$22</f>
        <v>-1321.9779782122266</v>
      </c>
      <c r="Q20" s="20">
        <f>-Q17*Assumptions!$C$22</f>
        <v>-1355.027427667532</v>
      </c>
      <c r="R20" s="20">
        <f>-R17*Assumptions!$C$22</f>
        <v>-1388.9031133592205</v>
      </c>
      <c r="S20" s="20">
        <f>-S17*Assumptions!$C$22</f>
        <v>-1423.625691193201</v>
      </c>
      <c r="T20" s="20">
        <f>-T17*Assumptions!$C$22</f>
        <v>-1459.2163334730308</v>
      </c>
      <c r="U20" s="20">
        <f>-U17*Assumptions!$C$22</f>
        <v>-1495.6967418098566</v>
      </c>
      <c r="V20" s="20">
        <f>-V17*Assumptions!$C$22</f>
        <v>-1533.0891603551031</v>
      </c>
      <c r="W20" s="20">
        <f>-W17*Assumptions!$C$22</f>
        <v>-1571.4163893639802</v>
      </c>
      <c r="X20" s="20">
        <f>-X17*Assumptions!$C$22</f>
        <v>-1610.7017990980796</v>
      </c>
      <c r="Y20" s="20">
        <f>-Y17*Assumptions!$C$22</f>
        <v>-1650.9693440755318</v>
      </c>
      <c r="Z20" s="20">
        <f>-Z17*Assumptions!$C$22</f>
        <v>-1692.2435776774198</v>
      </c>
      <c r="AA20" s="20">
        <f>-AA17*Assumptions!$C$22</f>
        <v>-1734.5496671193553</v>
      </c>
      <c r="AB20" s="20">
        <f>-AB17*Assumptions!$C$22</f>
        <v>-1777.9134087973389</v>
      </c>
    </row>
    <row r="21" spans="2:28" x14ac:dyDescent="0.25">
      <c r="B21" s="36" t="str">
        <f>Assumptions!B23</f>
        <v>Turbine</v>
      </c>
      <c r="D21" s="21">
        <f>-(D$15*Assumptions!$C23*(1+$D$6)^(D$12-1))/1000</f>
        <v>-3723.3503999999998</v>
      </c>
      <c r="E21" s="21">
        <f>-(E$15*Assumptions!$C23*(1+$D$6)^(E$12-1))/1000</f>
        <v>-3816.4341599999998</v>
      </c>
      <c r="F21" s="21">
        <f>-(F$15*Assumptions!$C23*(1+$D$6)^(F$12-1))/1000</f>
        <v>-3911.8450139999995</v>
      </c>
      <c r="G21" s="21">
        <f>-(G$15*Assumptions!$C23*(1+$D$6)^(G$12-1))/1000</f>
        <v>-4009.6411393499993</v>
      </c>
      <c r="H21" s="21">
        <f>-(H$15*Assumptions!$C23*(1+$D$6)^(H$12-1))/1000</f>
        <v>-4109.882167833749</v>
      </c>
      <c r="I21" s="21">
        <f>-(I$15*Assumptions!$C23*(1+$D$6)^(I$12-1))/1000</f>
        <v>-4212.6292220295918</v>
      </c>
      <c r="J21" s="21">
        <f>-(J$15*Assumptions!$C23*(1+$D$6)^(J$12-1))/1000</f>
        <v>-4317.944952580332</v>
      </c>
      <c r="K21" s="21">
        <f>-(K$15*Assumptions!$C23*(1+$D$6)^(K$12-1))/1000</f>
        <v>-4425.8935763948402</v>
      </c>
      <c r="L21" s="21">
        <f>-(L$15*Assumptions!$C23*(1+$D$6)^(L$12-1))/1000</f>
        <v>-4536.5409158047114</v>
      </c>
      <c r="M21" s="21">
        <f>-(M$15*Assumptions!$C23*(1+$D$6)^(M$12-1))/1000</f>
        <v>-4649.9544386998277</v>
      </c>
      <c r="N21" s="21">
        <f>-(N$15*Assumptions!$C23*(1+$D$6)^(N$12-1))/1000</f>
        <v>-4766.2032996673242</v>
      </c>
      <c r="O21" s="21">
        <f>-(O$15*Assumptions!$C23*(1+$D$6)^(O$12-1))/1000</f>
        <v>-4885.3583821590064</v>
      </c>
      <c r="P21" s="21">
        <f>-(P$15*Assumptions!$C23*(1+$D$6)^(P$12-1))/1000</f>
        <v>-5007.4923417129812</v>
      </c>
      <c r="Q21" s="21">
        <f>-(Q$15*Assumptions!$C23*(1+$D$6)^(Q$12-1))/1000</f>
        <v>-5132.6796502558054</v>
      </c>
      <c r="R21" s="21">
        <f>-(R$15*Assumptions!$C23*(1+$D$6)^(R$12-1))/1000</f>
        <v>-5260.9966415121999</v>
      </c>
      <c r="S21" s="21">
        <f>-(S$15*Assumptions!$C23*(1+$D$6)^(S$12-1))/1000</f>
        <v>-5392.5215575500069</v>
      </c>
      <c r="T21" s="21">
        <f>-(T$15*Assumptions!$C23*(1+$D$6)^(T$12-1))/1000</f>
        <v>-5527.3345964887558</v>
      </c>
      <c r="U21" s="21">
        <f>-(U$15*Assumptions!$C23*(1+$D$6)^(U$12-1))/1000</f>
        <v>-5665.5179614009739</v>
      </c>
      <c r="V21" s="21">
        <f>-(V$15*Assumptions!$C23*(1+$D$6)^(V$12-1))/1000</f>
        <v>-5807.1559104359985</v>
      </c>
      <c r="W21" s="21">
        <f>-(W$15*Assumptions!$C23*(1+$D$6)^(W$12-1))/1000</f>
        <v>-5952.3348081968988</v>
      </c>
      <c r="X21" s="21">
        <f>-(X$15*Assumptions!$C23*(1+$D$6)^(X$12-1))/1000</f>
        <v>-6101.1431784018205</v>
      </c>
      <c r="Y21" s="21">
        <f>-(Y$15*Assumptions!$C23*(1+$D$6)^(Y$12-1))/1000</f>
        <v>-6253.6717578618645</v>
      </c>
      <c r="Z21" s="21">
        <f>-(Z$15*Assumptions!$C23*(1+$D$6)^(Z$12-1))/1000</f>
        <v>-6410.0135518084116</v>
      </c>
      <c r="AA21" s="21">
        <f>-(AA$15*Assumptions!$C23*(1+$D$6)^(AA$12-1))/1000</f>
        <v>-6570.2638906036227</v>
      </c>
      <c r="AB21" s="21">
        <f>-(AB$15*Assumptions!$C23*(1+$D$6)^(AB$12-1))/1000</f>
        <v>-6734.5204878687127</v>
      </c>
    </row>
    <row r="22" spans="2:28" x14ac:dyDescent="0.25">
      <c r="B22" s="36" t="str">
        <f>Assumptions!B24</f>
        <v>BOP</v>
      </c>
      <c r="D22" s="21">
        <f>-(D$15*Assumptions!$C24*(1+$D$6)^(D$12-1))/1000</f>
        <v>-1191.4721280000001</v>
      </c>
      <c r="E22" s="21">
        <f>-(E$15*Assumptions!$C24*(1+$D$6)^(E$12-1))/1000</f>
        <v>-1221.2589312</v>
      </c>
      <c r="F22" s="21">
        <f>-(F$15*Assumptions!$C24*(1+$D$6)^(F$12-1))/1000</f>
        <v>-1251.79040448</v>
      </c>
      <c r="G22" s="21">
        <f>-(G$15*Assumptions!$C24*(1+$D$6)^(G$12-1))/1000</f>
        <v>-1283.085164592</v>
      </c>
      <c r="H22" s="21">
        <f>-(H$15*Assumptions!$C24*(1+$D$6)^(H$12-1))/1000</f>
        <v>-1315.1622937067998</v>
      </c>
      <c r="I22" s="21">
        <f>-(I$15*Assumptions!$C24*(1+$D$6)^(I$12-1))/1000</f>
        <v>-1348.0413510494695</v>
      </c>
      <c r="J22" s="21">
        <f>-(J$15*Assumptions!$C24*(1+$D$6)^(J$12-1))/1000</f>
        <v>-1381.7423848257063</v>
      </c>
      <c r="K22" s="21">
        <f>-(K$15*Assumptions!$C24*(1+$D$6)^(K$12-1))/1000</f>
        <v>-1416.285944446349</v>
      </c>
      <c r="L22" s="21">
        <f>-(L$15*Assumptions!$C24*(1+$D$6)^(L$12-1))/1000</f>
        <v>-1451.6930930575077</v>
      </c>
      <c r="M22" s="21">
        <f>-(M$15*Assumptions!$C24*(1+$D$6)^(M$12-1))/1000</f>
        <v>-1487.9854203839452</v>
      </c>
      <c r="N22" s="21">
        <f>-(N$15*Assumptions!$C24*(1+$D$6)^(N$12-1))/1000</f>
        <v>-1525.1850558935437</v>
      </c>
      <c r="O22" s="21">
        <f>-(O$15*Assumptions!$C24*(1+$D$6)^(O$12-1))/1000</f>
        <v>-1563.3146822908823</v>
      </c>
      <c r="P22" s="21">
        <f>-(P$15*Assumptions!$C24*(1+$D$6)^(P$12-1))/1000</f>
        <v>-1602.3975493481541</v>
      </c>
      <c r="Q22" s="21">
        <f>-(Q$15*Assumptions!$C24*(1+$D$6)^(Q$12-1))/1000</f>
        <v>-1642.4574880818579</v>
      </c>
      <c r="R22" s="21">
        <f>-(R$15*Assumptions!$C24*(1+$D$6)^(R$12-1))/1000</f>
        <v>-1683.5189252839041</v>
      </c>
      <c r="S22" s="21">
        <f>-(S$15*Assumptions!$C24*(1+$D$6)^(S$12-1))/1000</f>
        <v>-1725.606898416002</v>
      </c>
      <c r="T22" s="21">
        <f>-(T$15*Assumptions!$C24*(1+$D$6)^(T$12-1))/1000</f>
        <v>-1768.7470708764019</v>
      </c>
      <c r="U22" s="21">
        <f>-(U$15*Assumptions!$C24*(1+$D$6)^(U$12-1))/1000</f>
        <v>-1812.9657476483119</v>
      </c>
      <c r="V22" s="21">
        <f>-(V$15*Assumptions!$C24*(1+$D$6)^(V$12-1))/1000</f>
        <v>-1858.2898913395195</v>
      </c>
      <c r="W22" s="21">
        <f>-(W$15*Assumptions!$C24*(1+$D$6)^(W$12-1))/1000</f>
        <v>-1904.7471386230077</v>
      </c>
      <c r="X22" s="21">
        <f>-(X$15*Assumptions!$C24*(1+$D$6)^(X$12-1))/1000</f>
        <v>-1952.3658170885826</v>
      </c>
      <c r="Y22" s="21">
        <f>-(Y$15*Assumptions!$C24*(1+$D$6)^(Y$12-1))/1000</f>
        <v>-2001.174962515797</v>
      </c>
      <c r="Z22" s="21">
        <f>-(Z$15*Assumptions!$C24*(1+$D$6)^(Z$12-1))/1000</f>
        <v>-2051.2043365786917</v>
      </c>
      <c r="AA22" s="21">
        <f>-(AA$15*Assumptions!$C24*(1+$D$6)^(AA$12-1))/1000</f>
        <v>-2102.4844449931593</v>
      </c>
      <c r="AB22" s="21">
        <f>-(AB$15*Assumptions!$C24*(1+$D$6)^(AB$12-1))/1000</f>
        <v>-2155.0465561179881</v>
      </c>
    </row>
    <row r="23" spans="2:28" x14ac:dyDescent="0.25">
      <c r="B23" s="36" t="str">
        <f>Assumptions!B25</f>
        <v>Utilities</v>
      </c>
      <c r="D23" s="21">
        <f>-(D$15*Assumptions!$C25*(1+$D$6)^(D$12-1))/1000</f>
        <v>-238.29442560000001</v>
      </c>
      <c r="E23" s="21">
        <f>-(E$15*Assumptions!$C25*(1+$D$6)^(E$12-1))/1000</f>
        <v>-244.25178623999997</v>
      </c>
      <c r="F23" s="21">
        <f>-(F$15*Assumptions!$C25*(1+$D$6)^(F$12-1))/1000</f>
        <v>-250.35808089599999</v>
      </c>
      <c r="G23" s="21">
        <f>-(G$15*Assumptions!$C25*(1+$D$6)^(G$12-1))/1000</f>
        <v>-256.61703291840001</v>
      </c>
      <c r="H23" s="21">
        <f>-(H$15*Assumptions!$C25*(1+$D$6)^(H$12-1))/1000</f>
        <v>-263.03245874135996</v>
      </c>
      <c r="I23" s="21">
        <f>-(I$15*Assumptions!$C25*(1+$D$6)^(I$12-1))/1000</f>
        <v>-269.60827020989393</v>
      </c>
      <c r="J23" s="21">
        <f>-(J$15*Assumptions!$C25*(1+$D$6)^(J$12-1))/1000</f>
        <v>-276.34847696514123</v>
      </c>
      <c r="K23" s="21">
        <f>-(K$15*Assumptions!$C25*(1+$D$6)^(K$12-1))/1000</f>
        <v>-283.25718888926986</v>
      </c>
      <c r="L23" s="21">
        <f>-(L$15*Assumptions!$C25*(1+$D$6)^(L$12-1))/1000</f>
        <v>-290.33861861150154</v>
      </c>
      <c r="M23" s="21">
        <f>-(M$15*Assumptions!$C25*(1+$D$6)^(M$12-1))/1000</f>
        <v>-297.59708407678903</v>
      </c>
      <c r="N23" s="21">
        <f>-(N$15*Assumptions!$C25*(1+$D$6)^(N$12-1))/1000</f>
        <v>-305.03701117870872</v>
      </c>
      <c r="O23" s="21">
        <f>-(O$15*Assumptions!$C25*(1+$D$6)^(O$12-1))/1000</f>
        <v>-312.66293645817649</v>
      </c>
      <c r="P23" s="21">
        <f>-(P$15*Assumptions!$C25*(1+$D$6)^(P$12-1))/1000</f>
        <v>-320.47950986963087</v>
      </c>
      <c r="Q23" s="21">
        <f>-(Q$15*Assumptions!$C25*(1+$D$6)^(Q$12-1))/1000</f>
        <v>-328.49149761637159</v>
      </c>
      <c r="R23" s="21">
        <f>-(R$15*Assumptions!$C25*(1+$D$6)^(R$12-1))/1000</f>
        <v>-336.70378505678087</v>
      </c>
      <c r="S23" s="21">
        <f>-(S$15*Assumptions!$C25*(1+$D$6)^(S$12-1))/1000</f>
        <v>-345.12137968320042</v>
      </c>
      <c r="T23" s="21">
        <f>-(T$15*Assumptions!$C25*(1+$D$6)^(T$12-1))/1000</f>
        <v>-353.74941417528044</v>
      </c>
      <c r="U23" s="21">
        <f>-(U$15*Assumptions!$C25*(1+$D$6)^(U$12-1))/1000</f>
        <v>-362.59314952966241</v>
      </c>
      <c r="V23" s="21">
        <f>-(V$15*Assumptions!$C25*(1+$D$6)^(V$12-1))/1000</f>
        <v>-371.65797826790396</v>
      </c>
      <c r="W23" s="21">
        <f>-(W$15*Assumptions!$C25*(1+$D$6)^(W$12-1))/1000</f>
        <v>-380.94942772460155</v>
      </c>
      <c r="X23" s="21">
        <f>-(X$15*Assumptions!$C25*(1+$D$6)^(X$12-1))/1000</f>
        <v>-390.47316341771653</v>
      </c>
      <c r="Y23" s="21">
        <f>-(Y$15*Assumptions!$C25*(1+$D$6)^(Y$12-1))/1000</f>
        <v>-400.23499250315939</v>
      </c>
      <c r="Z23" s="21">
        <f>-(Z$15*Assumptions!$C25*(1+$D$6)^(Z$12-1))/1000</f>
        <v>-410.2408673157384</v>
      </c>
      <c r="AA23" s="21">
        <f>-(AA$15*Assumptions!$C25*(1+$D$6)^(AA$12-1))/1000</f>
        <v>-420.49688899863185</v>
      </c>
      <c r="AB23" s="21">
        <f>-(AB$15*Assumptions!$C25*(1+$D$6)^(AB$12-1))/1000</f>
        <v>-431.00931122359759</v>
      </c>
    </row>
    <row r="24" spans="2:28" x14ac:dyDescent="0.25">
      <c r="B24" s="36" t="str">
        <f>Assumptions!B26</f>
        <v>Project Mgmt</v>
      </c>
      <c r="D24" s="21">
        <f>-(D$15*Assumptions!$C26*(1+$D$6)^(D$12-1))/1000</f>
        <v>-744.6700800000001</v>
      </c>
      <c r="E24" s="21">
        <f>-(E$15*Assumptions!$C26*(1+$D$6)^(E$12-1))/1000</f>
        <v>-763.286832</v>
      </c>
      <c r="F24" s="21">
        <f>-(F$15*Assumptions!$C26*(1+$D$6)^(F$12-1))/1000</f>
        <v>-782.36900279999998</v>
      </c>
      <c r="G24" s="21">
        <f>-(G$15*Assumptions!$C26*(1+$D$6)^(G$12-1))/1000</f>
        <v>-801.92822787</v>
      </c>
      <c r="H24" s="21">
        <f>-(H$15*Assumptions!$C26*(1+$D$6)^(H$12-1))/1000</f>
        <v>-821.97643356674996</v>
      </c>
      <c r="I24" s="21">
        <f>-(I$15*Assumptions!$C26*(1+$D$6)^(I$12-1))/1000</f>
        <v>-842.52584440591863</v>
      </c>
      <c r="J24" s="21">
        <f>-(J$15*Assumptions!$C26*(1+$D$6)^(J$12-1))/1000</f>
        <v>-863.58899051606647</v>
      </c>
      <c r="K24" s="21">
        <f>-(K$15*Assumptions!$C26*(1+$D$6)^(K$12-1))/1000</f>
        <v>-885.17871527896818</v>
      </c>
      <c r="L24" s="21">
        <f>-(L$15*Assumptions!$C26*(1+$D$6)^(L$12-1))/1000</f>
        <v>-907.30818316094224</v>
      </c>
      <c r="M24" s="21">
        <f>-(M$15*Assumptions!$C26*(1+$D$6)^(M$12-1))/1000</f>
        <v>-929.99088773996573</v>
      </c>
      <c r="N24" s="21">
        <f>-(N$15*Assumptions!$C26*(1+$D$6)^(N$12-1))/1000</f>
        <v>-953.24065993346483</v>
      </c>
      <c r="O24" s="21">
        <f>-(O$15*Assumptions!$C26*(1+$D$6)^(O$12-1))/1000</f>
        <v>-977.07167643180151</v>
      </c>
      <c r="P24" s="21">
        <f>-(P$15*Assumptions!$C26*(1+$D$6)^(P$12-1))/1000</f>
        <v>-1001.4984683425964</v>
      </c>
      <c r="Q24" s="21">
        <f>-(Q$15*Assumptions!$C26*(1+$D$6)^(Q$12-1))/1000</f>
        <v>-1026.5359300511614</v>
      </c>
      <c r="R24" s="21">
        <f>-(R$15*Assumptions!$C26*(1+$D$6)^(R$12-1))/1000</f>
        <v>-1052.1993283024403</v>
      </c>
      <c r="S24" s="21">
        <f>-(S$15*Assumptions!$C26*(1+$D$6)^(S$12-1))/1000</f>
        <v>-1078.5043115100013</v>
      </c>
      <c r="T24" s="21">
        <f>-(T$15*Assumptions!$C26*(1+$D$6)^(T$12-1))/1000</f>
        <v>-1105.4669192977512</v>
      </c>
      <c r="U24" s="21">
        <f>-(U$15*Assumptions!$C26*(1+$D$6)^(U$12-1))/1000</f>
        <v>-1133.1035922801948</v>
      </c>
      <c r="V24" s="21">
        <f>-(V$15*Assumptions!$C26*(1+$D$6)^(V$12-1))/1000</f>
        <v>-1161.4311820871997</v>
      </c>
      <c r="W24" s="21">
        <f>-(W$15*Assumptions!$C26*(1+$D$6)^(W$12-1))/1000</f>
        <v>-1190.4669616393799</v>
      </c>
      <c r="X24" s="21">
        <f>-(X$15*Assumptions!$C26*(1+$D$6)^(X$12-1))/1000</f>
        <v>-1220.2286356803643</v>
      </c>
      <c r="Y24" s="21">
        <f>-(Y$15*Assumptions!$C26*(1+$D$6)^(Y$12-1))/1000</f>
        <v>-1250.7343515723733</v>
      </c>
      <c r="Z24" s="21">
        <f>-(Z$15*Assumptions!$C26*(1+$D$6)^(Z$12-1))/1000</f>
        <v>-1282.0027103616824</v>
      </c>
      <c r="AA24" s="21">
        <f>-(AA$15*Assumptions!$C26*(1+$D$6)^(AA$12-1))/1000</f>
        <v>-1314.0527781207245</v>
      </c>
      <c r="AB24" s="21">
        <f>-(AB$15*Assumptions!$C26*(1+$D$6)^(AB$12-1))/1000</f>
        <v>-1346.9040975737425</v>
      </c>
    </row>
    <row r="25" spans="2:28" x14ac:dyDescent="0.25">
      <c r="B25" s="36" t="str">
        <f>Assumptions!B27</f>
        <v>Insurance</v>
      </c>
      <c r="D25" s="21">
        <f>-(D$15*Assumptions!$C27*(1+$D$6)^(D$12-1))/1000</f>
        <v>-595.73606400000006</v>
      </c>
      <c r="E25" s="21">
        <f>-(E$15*Assumptions!$C27*(1+$D$6)^(E$12-1))/1000</f>
        <v>-610.6294656</v>
      </c>
      <c r="F25" s="21">
        <f>-(F$15*Assumptions!$C27*(1+$D$6)^(F$12-1))/1000</f>
        <v>-625.89520224</v>
      </c>
      <c r="G25" s="21">
        <f>-(G$15*Assumptions!$C27*(1+$D$6)^(G$12-1))/1000</f>
        <v>-641.54258229599998</v>
      </c>
      <c r="H25" s="21">
        <f>-(H$15*Assumptions!$C27*(1+$D$6)^(H$12-1))/1000</f>
        <v>-657.5811468533999</v>
      </c>
      <c r="I25" s="21">
        <f>-(I$15*Assumptions!$C27*(1+$D$6)^(I$12-1))/1000</f>
        <v>-674.02067552473477</v>
      </c>
      <c r="J25" s="21">
        <f>-(J$15*Assumptions!$C27*(1+$D$6)^(J$12-1))/1000</f>
        <v>-690.87119241285313</v>
      </c>
      <c r="K25" s="21">
        <f>-(K$15*Assumptions!$C27*(1+$D$6)^(K$12-1))/1000</f>
        <v>-708.14297222317452</v>
      </c>
      <c r="L25" s="21">
        <f>-(L$15*Assumptions!$C27*(1+$D$6)^(L$12-1))/1000</f>
        <v>-725.84654652875383</v>
      </c>
      <c r="M25" s="21">
        <f>-(M$15*Assumptions!$C27*(1+$D$6)^(M$12-1))/1000</f>
        <v>-743.99271019197261</v>
      </c>
      <c r="N25" s="21">
        <f>-(N$15*Assumptions!$C27*(1+$D$6)^(N$12-1))/1000</f>
        <v>-762.59252794677184</v>
      </c>
      <c r="O25" s="21">
        <f>-(O$15*Assumptions!$C27*(1+$D$6)^(O$12-1))/1000</f>
        <v>-781.65734114544114</v>
      </c>
      <c r="P25" s="21">
        <f>-(P$15*Assumptions!$C27*(1+$D$6)^(P$12-1))/1000</f>
        <v>-801.19877467407707</v>
      </c>
      <c r="Q25" s="21">
        <f>-(Q$15*Assumptions!$C27*(1+$D$6)^(Q$12-1))/1000</f>
        <v>-821.22874404092897</v>
      </c>
      <c r="R25" s="21">
        <f>-(R$15*Assumptions!$C27*(1+$D$6)^(R$12-1))/1000</f>
        <v>-841.75946264195204</v>
      </c>
      <c r="S25" s="21">
        <f>-(S$15*Assumptions!$C27*(1+$D$6)^(S$12-1))/1000</f>
        <v>-862.80344920800098</v>
      </c>
      <c r="T25" s="21">
        <f>-(T$15*Assumptions!$C27*(1+$D$6)^(T$12-1))/1000</f>
        <v>-884.37353543820097</v>
      </c>
      <c r="U25" s="21">
        <f>-(U$15*Assumptions!$C27*(1+$D$6)^(U$12-1))/1000</f>
        <v>-906.48287382415594</v>
      </c>
      <c r="V25" s="21">
        <f>-(V$15*Assumptions!$C27*(1+$D$6)^(V$12-1))/1000</f>
        <v>-929.14494566975975</v>
      </c>
      <c r="W25" s="21">
        <f>-(W$15*Assumptions!$C27*(1+$D$6)^(W$12-1))/1000</f>
        <v>-952.37356931150384</v>
      </c>
      <c r="X25" s="21">
        <f>-(X$15*Assumptions!$C27*(1+$D$6)^(X$12-1))/1000</f>
        <v>-976.18290854429131</v>
      </c>
      <c r="Y25" s="21">
        <f>-(Y$15*Assumptions!$C27*(1+$D$6)^(Y$12-1))/1000</f>
        <v>-1000.5874812578985</v>
      </c>
      <c r="Z25" s="21">
        <f>-(Z$15*Assumptions!$C27*(1+$D$6)^(Z$12-1))/1000</f>
        <v>-1025.6021682893459</v>
      </c>
      <c r="AA25" s="21">
        <f>-(AA$15*Assumptions!$C27*(1+$D$6)^(AA$12-1))/1000</f>
        <v>-1051.2422224965796</v>
      </c>
      <c r="AB25" s="21">
        <f>-(AB$15*Assumptions!$C27*(1+$D$6)^(AB$12-1))/1000</f>
        <v>-1077.523278058994</v>
      </c>
    </row>
    <row r="26" spans="2:28" x14ac:dyDescent="0.25">
      <c r="B26" s="36" t="str">
        <f>Assumptions!B28</f>
        <v>Property Taxes</v>
      </c>
      <c r="D26" s="21">
        <f>-(D$15*Assumptions!$C28*(1+$D$6)^(D$12-1))/1000</f>
        <v>-1191.4721280000001</v>
      </c>
      <c r="E26" s="21">
        <f>-(E$15*Assumptions!$C28*(1+$D$6)^(E$12-1))/1000</f>
        <v>-1221.2589312</v>
      </c>
      <c r="F26" s="21">
        <f>-(F$15*Assumptions!$C28*(1+$D$6)^(F$12-1))/1000</f>
        <v>-1251.79040448</v>
      </c>
      <c r="G26" s="21">
        <f>-(G$15*Assumptions!$C28*(1+$D$6)^(G$12-1))/1000</f>
        <v>-1283.085164592</v>
      </c>
      <c r="H26" s="21">
        <f>-(H$15*Assumptions!$C28*(1+$D$6)^(H$12-1))/1000</f>
        <v>-1315.1622937067998</v>
      </c>
      <c r="I26" s="21">
        <f>-(I$15*Assumptions!$C28*(1+$D$6)^(I$12-1))/1000</f>
        <v>-1348.0413510494695</v>
      </c>
      <c r="J26" s="21">
        <f>-(J$15*Assumptions!$C28*(1+$D$6)^(J$12-1))/1000</f>
        <v>-1381.7423848257063</v>
      </c>
      <c r="K26" s="21">
        <f>-(K$15*Assumptions!$C28*(1+$D$6)^(K$12-1))/1000</f>
        <v>-1416.285944446349</v>
      </c>
      <c r="L26" s="21">
        <f>-(L$15*Assumptions!$C28*(1+$D$6)^(L$12-1))/1000</f>
        <v>-1451.6930930575077</v>
      </c>
      <c r="M26" s="21">
        <f>-(M$15*Assumptions!$C28*(1+$D$6)^(M$12-1))/1000</f>
        <v>-1487.9854203839452</v>
      </c>
      <c r="N26" s="21">
        <f>-(N$15*Assumptions!$C28*(1+$D$6)^(N$12-1))/1000</f>
        <v>-1525.1850558935437</v>
      </c>
      <c r="O26" s="21">
        <f>-(O$15*Assumptions!$C28*(1+$D$6)^(O$12-1))/1000</f>
        <v>-1563.3146822908823</v>
      </c>
      <c r="P26" s="21">
        <f>-(P$15*Assumptions!$C28*(1+$D$6)^(P$12-1))/1000</f>
        <v>-1602.3975493481541</v>
      </c>
      <c r="Q26" s="21">
        <f>-(Q$15*Assumptions!$C28*(1+$D$6)^(Q$12-1))/1000</f>
        <v>-1642.4574880818579</v>
      </c>
      <c r="R26" s="21">
        <f>-(R$15*Assumptions!$C28*(1+$D$6)^(R$12-1))/1000</f>
        <v>-1683.5189252839041</v>
      </c>
      <c r="S26" s="21">
        <f>-(S$15*Assumptions!$C28*(1+$D$6)^(S$12-1))/1000</f>
        <v>-1725.606898416002</v>
      </c>
      <c r="T26" s="21">
        <f>-(T$15*Assumptions!$C28*(1+$D$6)^(T$12-1))/1000</f>
        <v>-1768.7470708764019</v>
      </c>
      <c r="U26" s="21">
        <f>-(U$15*Assumptions!$C28*(1+$D$6)^(U$12-1))/1000</f>
        <v>-1812.9657476483119</v>
      </c>
      <c r="V26" s="21">
        <f>-(V$15*Assumptions!$C28*(1+$D$6)^(V$12-1))/1000</f>
        <v>-1858.2898913395195</v>
      </c>
      <c r="W26" s="21">
        <f>-(W$15*Assumptions!$C28*(1+$D$6)^(W$12-1))/1000</f>
        <v>-1904.7471386230077</v>
      </c>
      <c r="X26" s="21">
        <f>-(X$15*Assumptions!$C28*(1+$D$6)^(X$12-1))/1000</f>
        <v>-1952.3658170885826</v>
      </c>
      <c r="Y26" s="21">
        <f>-(Y$15*Assumptions!$C28*(1+$D$6)^(Y$12-1))/1000</f>
        <v>-2001.174962515797</v>
      </c>
      <c r="Z26" s="21">
        <f>-(Z$15*Assumptions!$C28*(1+$D$6)^(Z$12-1))/1000</f>
        <v>-2051.2043365786917</v>
      </c>
      <c r="AA26" s="21">
        <f>-(AA$15*Assumptions!$C28*(1+$D$6)^(AA$12-1))/1000</f>
        <v>-2102.4844449931593</v>
      </c>
      <c r="AB26" s="21">
        <f>-(AB$15*Assumptions!$C28*(1+$D$6)^(AB$12-1))/1000</f>
        <v>-2155.0465561179881</v>
      </c>
    </row>
    <row r="27" spans="2:28" x14ac:dyDescent="0.25">
      <c r="B27" s="36" t="str">
        <f>Assumptions!B29</f>
        <v>Other Services</v>
      </c>
      <c r="D27" s="21">
        <f>-(D$15*Assumptions!$C29*(1+$D$6)^(D$12-1))/1000</f>
        <v>-595.73606400000006</v>
      </c>
      <c r="E27" s="21">
        <f>-(E$15*Assumptions!$C29*(1+$D$6)^(E$12-1))/1000</f>
        <v>-610.6294656</v>
      </c>
      <c r="F27" s="21">
        <f>-(F$15*Assumptions!$C29*(1+$D$6)^(F$12-1))/1000</f>
        <v>-625.89520224</v>
      </c>
      <c r="G27" s="21">
        <f>-(G$15*Assumptions!$C29*(1+$D$6)^(G$12-1))/1000</f>
        <v>-641.54258229599998</v>
      </c>
      <c r="H27" s="21">
        <f>-(H$15*Assumptions!$C29*(1+$D$6)^(H$12-1))/1000</f>
        <v>-657.5811468533999</v>
      </c>
      <c r="I27" s="21">
        <f>-(I$15*Assumptions!$C29*(1+$D$6)^(I$12-1))/1000</f>
        <v>-674.02067552473477</v>
      </c>
      <c r="J27" s="21">
        <f>-(J$15*Assumptions!$C29*(1+$D$6)^(J$12-1))/1000</f>
        <v>-690.87119241285313</v>
      </c>
      <c r="K27" s="21">
        <f>-(K$15*Assumptions!$C29*(1+$D$6)^(K$12-1))/1000</f>
        <v>-708.14297222317452</v>
      </c>
      <c r="L27" s="21">
        <f>-(L$15*Assumptions!$C29*(1+$D$6)^(L$12-1))/1000</f>
        <v>-725.84654652875383</v>
      </c>
      <c r="M27" s="21">
        <f>-(M$15*Assumptions!$C29*(1+$D$6)^(M$12-1))/1000</f>
        <v>-743.99271019197261</v>
      </c>
      <c r="N27" s="21">
        <f>-(N$15*Assumptions!$C29*(1+$D$6)^(N$12-1))/1000</f>
        <v>-762.59252794677184</v>
      </c>
      <c r="O27" s="21">
        <f>-(O$15*Assumptions!$C29*(1+$D$6)^(O$12-1))/1000</f>
        <v>-781.65734114544114</v>
      </c>
      <c r="P27" s="21">
        <f>-(P$15*Assumptions!$C29*(1+$D$6)^(P$12-1))/1000</f>
        <v>-801.19877467407707</v>
      </c>
      <c r="Q27" s="21">
        <f>-(Q$15*Assumptions!$C29*(1+$D$6)^(Q$12-1))/1000</f>
        <v>-821.22874404092897</v>
      </c>
      <c r="R27" s="21">
        <f>-(R$15*Assumptions!$C29*(1+$D$6)^(R$12-1))/1000</f>
        <v>-841.75946264195204</v>
      </c>
      <c r="S27" s="21">
        <f>-(S$15*Assumptions!$C29*(1+$D$6)^(S$12-1))/1000</f>
        <v>-862.80344920800098</v>
      </c>
      <c r="T27" s="21">
        <f>-(T$15*Assumptions!$C29*(1+$D$6)^(T$12-1))/1000</f>
        <v>-884.37353543820097</v>
      </c>
      <c r="U27" s="21">
        <f>-(U$15*Assumptions!$C29*(1+$D$6)^(U$12-1))/1000</f>
        <v>-906.48287382415594</v>
      </c>
      <c r="V27" s="21">
        <f>-(V$15*Assumptions!$C29*(1+$D$6)^(V$12-1))/1000</f>
        <v>-929.14494566975975</v>
      </c>
      <c r="W27" s="21">
        <f>-(W$15*Assumptions!$C29*(1+$D$6)^(W$12-1))/1000</f>
        <v>-952.37356931150384</v>
      </c>
      <c r="X27" s="21">
        <f>-(X$15*Assumptions!$C29*(1+$D$6)^(X$12-1))/1000</f>
        <v>-976.18290854429131</v>
      </c>
      <c r="Y27" s="21">
        <f>-(Y$15*Assumptions!$C29*(1+$D$6)^(Y$12-1))/1000</f>
        <v>-1000.5874812578985</v>
      </c>
      <c r="Z27" s="21">
        <f>-(Z$15*Assumptions!$C29*(1+$D$6)^(Z$12-1))/1000</f>
        <v>-1025.6021682893459</v>
      </c>
      <c r="AA27" s="21">
        <f>-(AA$15*Assumptions!$C29*(1+$D$6)^(AA$12-1))/1000</f>
        <v>-1051.2422224965796</v>
      </c>
      <c r="AB27" s="21">
        <f>-(AB$15*Assumptions!$C29*(1+$D$6)^(AB$12-1))/1000</f>
        <v>-1077.523278058994</v>
      </c>
    </row>
    <row r="28" spans="2:28" x14ac:dyDescent="0.25">
      <c r="B28" s="37" t="str">
        <f>Assumptions!B30</f>
        <v>Contingency</v>
      </c>
      <c r="C28" s="13"/>
      <c r="D28" s="22">
        <f>SUM(D20:D27)*Assumptions!$C$30</f>
        <v>-463.18478976000006</v>
      </c>
      <c r="E28" s="22">
        <f>SUM(E20:E27)*Assumptions!$C$30</f>
        <v>-474.76440950399996</v>
      </c>
      <c r="F28" s="22">
        <f>SUM(F20:F27)*Assumptions!$C$30</f>
        <v>-486.63351974159997</v>
      </c>
      <c r="G28" s="22">
        <f>SUM(G20:G27)*Assumptions!$C$30</f>
        <v>-498.79935773514001</v>
      </c>
      <c r="H28" s="22">
        <f>SUM(H20:H27)*Assumptions!$C$30</f>
        <v>-511.26934167851834</v>
      </c>
      <c r="I28" s="22">
        <f>SUM(I20:I27)*Assumptions!$C$30</f>
        <v>-524.05107522048127</v>
      </c>
      <c r="J28" s="22">
        <f>SUM(J20:J27)*Assumptions!$C$30</f>
        <v>-537.15235210099331</v>
      </c>
      <c r="K28" s="22">
        <f>SUM(K20:K27)*Assumptions!$C$30</f>
        <v>-550.58116090351814</v>
      </c>
      <c r="L28" s="22">
        <f>SUM(L20:L27)*Assumptions!$C$30</f>
        <v>-564.34568992610605</v>
      </c>
      <c r="M28" s="22">
        <f>SUM(M20:M27)*Assumptions!$C$30</f>
        <v>-578.45433217425875</v>
      </c>
      <c r="N28" s="22">
        <f>SUM(N20:N27)*Assumptions!$C$30</f>
        <v>-592.91569047861515</v>
      </c>
      <c r="O28" s="22">
        <f>SUM(O20:O27)*Assumptions!$C$30</f>
        <v>-607.73858274058045</v>
      </c>
      <c r="P28" s="22">
        <f>SUM(P20:P27)*Assumptions!$C$30</f>
        <v>-622.93204730909508</v>
      </c>
      <c r="Q28" s="22">
        <f>SUM(Q20:Q27)*Assumptions!$C$30</f>
        <v>-638.50534849182225</v>
      </c>
      <c r="R28" s="22">
        <f>SUM(R20:R27)*Assumptions!$C$30</f>
        <v>-654.46798220411779</v>
      </c>
      <c r="S28" s="22">
        <f>SUM(S20:S27)*Assumptions!$C$30</f>
        <v>-670.82968175922076</v>
      </c>
      <c r="T28" s="22">
        <f>SUM(T20:T27)*Assumptions!$C$30</f>
        <v>-687.60042380320112</v>
      </c>
      <c r="U28" s="22">
        <f>SUM(U20:U27)*Assumptions!$C$30</f>
        <v>-704.79043439828126</v>
      </c>
      <c r="V28" s="22">
        <f>SUM(V20:V27)*Assumptions!$C$30</f>
        <v>-722.41019525823822</v>
      </c>
      <c r="W28" s="22">
        <f>SUM(W20:W27)*Assumptions!$C$30</f>
        <v>-740.47045013969421</v>
      </c>
      <c r="X28" s="22">
        <f>SUM(X20:X27)*Assumptions!$C$30</f>
        <v>-758.9822113931865</v>
      </c>
      <c r="Y28" s="22">
        <f>SUM(Y20:Y27)*Assumptions!$C$30</f>
        <v>-777.95676667801604</v>
      </c>
      <c r="Z28" s="22">
        <f>SUM(Z20:Z27)*Assumptions!$C$30</f>
        <v>-797.40568584496657</v>
      </c>
      <c r="AA28" s="22">
        <f>SUM(AA20:AA27)*Assumptions!$C$30</f>
        <v>-817.34082799109058</v>
      </c>
      <c r="AB28" s="22">
        <f>SUM(AB20:AB27)*Assumptions!$C$30</f>
        <v>-837.77434869086778</v>
      </c>
    </row>
    <row r="29" spans="2:28" x14ac:dyDescent="0.25">
      <c r="B29" s="1" t="s">
        <v>118</v>
      </c>
      <c r="C29" s="1"/>
      <c r="D29" s="23">
        <f>SUM(D20:D28)</f>
        <v>-9726.8805849600012</v>
      </c>
      <c r="E29" s="23">
        <f t="shared" ref="E29:W29" si="4">SUM(E20:E28)</f>
        <v>-9970.052599583998</v>
      </c>
      <c r="F29" s="23">
        <f t="shared" si="4"/>
        <v>-10219.303914573598</v>
      </c>
      <c r="G29" s="23">
        <f t="shared" si="4"/>
        <v>-10474.78651243794</v>
      </c>
      <c r="H29" s="23">
        <f t="shared" si="4"/>
        <v>-10736.656175248885</v>
      </c>
      <c r="I29" s="23">
        <f t="shared" si="4"/>
        <v>-11005.072579630105</v>
      </c>
      <c r="J29" s="23">
        <f t="shared" si="4"/>
        <v>-11280.199394120858</v>
      </c>
      <c r="K29" s="23">
        <f t="shared" si="4"/>
        <v>-11562.204378973882</v>
      </c>
      <c r="L29" s="23">
        <f t="shared" si="4"/>
        <v>-11851.259488448226</v>
      </c>
      <c r="M29" s="23">
        <f t="shared" si="4"/>
        <v>-12147.540975659433</v>
      </c>
      <c r="N29" s="23">
        <f t="shared" si="4"/>
        <v>-12451.229500050918</v>
      </c>
      <c r="O29" s="23">
        <f t="shared" si="4"/>
        <v>-12762.510237552187</v>
      </c>
      <c r="P29" s="23">
        <f t="shared" si="4"/>
        <v>-13081.572993490996</v>
      </c>
      <c r="Q29" s="23">
        <f t="shared" si="4"/>
        <v>-13408.612318328267</v>
      </c>
      <c r="R29" s="23">
        <f t="shared" si="4"/>
        <v>-13743.827626286473</v>
      </c>
      <c r="S29" s="23">
        <f t="shared" si="4"/>
        <v>-14087.423316943634</v>
      </c>
      <c r="T29" s="23">
        <f t="shared" si="4"/>
        <v>-14439.608899867224</v>
      </c>
      <c r="U29" s="23">
        <f t="shared" si="4"/>
        <v>-14800.599122363905</v>
      </c>
      <c r="V29" s="23">
        <f t="shared" si="4"/>
        <v>-15170.614100423001</v>
      </c>
      <c r="W29" s="23">
        <f t="shared" si="4"/>
        <v>-15549.879452933577</v>
      </c>
      <c r="X29" s="23">
        <f>SUM(X20:X28)</f>
        <v>-15938.626439256916</v>
      </c>
      <c r="Y29" s="23">
        <f>SUM(Y20:Y28)</f>
        <v>-16337.092100238337</v>
      </c>
      <c r="Z29" s="23">
        <f>SUM(Z20:Z28)</f>
        <v>-16745.519402744296</v>
      </c>
      <c r="AA29" s="23">
        <f>SUM(AA20:AA28)</f>
        <v>-17164.157387812902</v>
      </c>
      <c r="AB29" s="23">
        <f>SUM(AB20:AB28)</f>
        <v>-17593.261322508224</v>
      </c>
    </row>
    <row r="30" spans="2:28" x14ac:dyDescent="0.25"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2:28" x14ac:dyDescent="0.25">
      <c r="B31" s="24" t="s">
        <v>41</v>
      </c>
      <c r="C31" s="24"/>
      <c r="D31" s="25">
        <f>D17+D29</f>
        <v>23038.602935039999</v>
      </c>
      <c r="E31" s="25">
        <f t="shared" ref="E31:W31" si="5">E17+E29</f>
        <v>23614.568008415998</v>
      </c>
      <c r="F31" s="25">
        <f t="shared" si="5"/>
        <v>24204.932208626393</v>
      </c>
      <c r="G31" s="25">
        <f t="shared" si="5"/>
        <v>24810.055513842053</v>
      </c>
      <c r="H31" s="25">
        <f t="shared" si="5"/>
        <v>25430.306901688105</v>
      </c>
      <c r="I31" s="25">
        <f t="shared" si="5"/>
        <v>26066.06457423031</v>
      </c>
      <c r="J31" s="25">
        <f t="shared" si="5"/>
        <v>26717.716188586055</v>
      </c>
      <c r="K31" s="25">
        <f t="shared" si="5"/>
        <v>27385.659093300703</v>
      </c>
      <c r="L31" s="25">
        <f t="shared" si="5"/>
        <v>28070.300570633226</v>
      </c>
      <c r="M31" s="25">
        <f t="shared" si="5"/>
        <v>28772.05808489905</v>
      </c>
      <c r="N31" s="25">
        <f t="shared" si="5"/>
        <v>29491.359537021526</v>
      </c>
      <c r="O31" s="25">
        <f t="shared" si="5"/>
        <v>30228.643525447056</v>
      </c>
      <c r="P31" s="25">
        <f t="shared" si="5"/>
        <v>30984.359613583227</v>
      </c>
      <c r="Q31" s="25">
        <f t="shared" si="5"/>
        <v>31758.968603922804</v>
      </c>
      <c r="R31" s="25">
        <f t="shared" si="5"/>
        <v>32552.942819020878</v>
      </c>
      <c r="S31" s="25">
        <f t="shared" si="5"/>
        <v>33366.766389496399</v>
      </c>
      <c r="T31" s="25">
        <f t="shared" si="5"/>
        <v>34200.935549233807</v>
      </c>
      <c r="U31" s="25">
        <f t="shared" si="5"/>
        <v>35055.95893796465</v>
      </c>
      <c r="V31" s="25">
        <f t="shared" si="5"/>
        <v>35932.357911413768</v>
      </c>
      <c r="W31" s="25">
        <f t="shared" si="5"/>
        <v>36830.666859199097</v>
      </c>
      <c r="X31" s="25">
        <f>X17+X29</f>
        <v>37751.433530679074</v>
      </c>
      <c r="Y31" s="25">
        <f>Y17+Y29</f>
        <v>38695.219368946055</v>
      </c>
      <c r="Z31" s="25">
        <f>Z17+Z29</f>
        <v>39662.599853169697</v>
      </c>
      <c r="AA31" s="25">
        <f>AA17+AA29</f>
        <v>40654.164849498935</v>
      </c>
      <c r="AB31" s="25">
        <f>AB17+AB29</f>
        <v>41670.518970736404</v>
      </c>
    </row>
    <row r="32" spans="2:28" x14ac:dyDescent="0.25"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x14ac:dyDescent="0.25">
      <c r="A33" s="35"/>
      <c r="B33" s="35" t="s">
        <v>131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</row>
    <row r="34" spans="1:28" x14ac:dyDescent="0.25"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x14ac:dyDescent="0.25">
      <c r="B35" s="38" t="s">
        <v>209</v>
      </c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</row>
    <row r="36" spans="1:28" ht="14.4" x14ac:dyDescent="0.3">
      <c r="B36" s="41" t="s">
        <v>121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x14ac:dyDescent="0.25">
      <c r="B37" s="42" t="s">
        <v>42</v>
      </c>
      <c r="D37" s="20">
        <f>-Depreciation!E24</f>
        <v>-63031.226586618825</v>
      </c>
      <c r="E37" s="20">
        <f>-Depreciation!F24</f>
        <v>-100950.99795141025</v>
      </c>
      <c r="F37" s="20">
        <f>-Depreciation!G24</f>
        <v>-61422.664085629243</v>
      </c>
      <c r="G37" s="20">
        <f>-Depreciation!H24</f>
        <v>-37638.796692948774</v>
      </c>
      <c r="H37" s="20">
        <f>-Depreciation!I24</f>
        <v>-37454.912241616134</v>
      </c>
      <c r="I37" s="20">
        <f>-Depreciation!J24</f>
        <v>-19602.086011120995</v>
      </c>
      <c r="J37" s="20">
        <f>-Depreciation!K24</f>
        <v>-1837.6198416558204</v>
      </c>
      <c r="K37" s="20">
        <f>-Depreciation!L24</f>
        <v>-1837.6198416558204</v>
      </c>
      <c r="L37" s="20">
        <f>-Depreciation!M24</f>
        <v>-1840.0079514133872</v>
      </c>
      <c r="M37" s="20">
        <f>-Depreciation!N24</f>
        <v>-1837.6198416558204</v>
      </c>
      <c r="N37" s="20">
        <f>-Depreciation!O24</f>
        <v>-1840.0079514133872</v>
      </c>
      <c r="O37" s="20">
        <f>-Depreciation!P24</f>
        <v>-1837.6198416558204</v>
      </c>
      <c r="P37" s="20">
        <f>-Depreciation!Q24</f>
        <v>-1840.0079514133872</v>
      </c>
      <c r="Q37" s="20">
        <f>-Depreciation!R24</f>
        <v>-1837.6198416558204</v>
      </c>
      <c r="R37" s="20">
        <f>-Depreciation!S24</f>
        <v>-1840.0079514133872</v>
      </c>
      <c r="S37" s="20">
        <f>-Depreciation!T24</f>
        <v>-1133.1274631736405</v>
      </c>
      <c r="T37" s="20">
        <f>-Depreciation!U24</f>
        <v>-428.63508469146097</v>
      </c>
      <c r="U37" s="20">
        <f>-Depreciation!V24</f>
        <v>-428.63508469146097</v>
      </c>
      <c r="V37" s="20">
        <f>-Depreciation!W24</f>
        <v>-428.63508469146097</v>
      </c>
      <c r="W37" s="20">
        <f>-Depreciation!X24</f>
        <v>-428.63508469146097</v>
      </c>
      <c r="X37" s="20">
        <f>-Depreciation!Y24</f>
        <v>-87.476547896216516</v>
      </c>
      <c r="Y37" s="20">
        <f>-Depreciation!Z24</f>
        <v>-87.476547896216516</v>
      </c>
      <c r="Z37" s="20">
        <f>-Depreciation!AA24</f>
        <v>-87.476547896216516</v>
      </c>
      <c r="AA37" s="20">
        <f>-Depreciation!AB24</f>
        <v>-87.476547896216516</v>
      </c>
      <c r="AB37" s="20">
        <f>-Depreciation!AC24</f>
        <v>-87.476547896216516</v>
      </c>
    </row>
    <row r="38" spans="1:28" x14ac:dyDescent="0.25">
      <c r="B38" s="42" t="s">
        <v>119</v>
      </c>
      <c r="D38" s="20">
        <f>D31+D37</f>
        <v>-39992.623651578826</v>
      </c>
      <c r="E38" s="20">
        <f t="shared" ref="E38:W38" si="6">E31+E37</f>
        <v>-77336.429942994248</v>
      </c>
      <c r="F38" s="20">
        <f t="shared" si="6"/>
        <v>-37217.731877002851</v>
      </c>
      <c r="G38" s="20">
        <f t="shared" si="6"/>
        <v>-12828.741179106721</v>
      </c>
      <c r="H38" s="20">
        <f t="shared" si="6"/>
        <v>-12024.605339928028</v>
      </c>
      <c r="I38" s="20">
        <f t="shared" si="6"/>
        <v>6463.9785631093146</v>
      </c>
      <c r="J38" s="20">
        <f t="shared" si="6"/>
        <v>24880.096346930233</v>
      </c>
      <c r="K38" s="20">
        <f t="shared" si="6"/>
        <v>25548.039251644881</v>
      </c>
      <c r="L38" s="20">
        <f t="shared" si="6"/>
        <v>26230.292619219839</v>
      </c>
      <c r="M38" s="20">
        <f t="shared" si="6"/>
        <v>26934.438243243228</v>
      </c>
      <c r="N38" s="20">
        <f t="shared" si="6"/>
        <v>27651.351585608139</v>
      </c>
      <c r="O38" s="20">
        <f t="shared" si="6"/>
        <v>28391.023683791234</v>
      </c>
      <c r="P38" s="20">
        <f t="shared" si="6"/>
        <v>29144.35166216984</v>
      </c>
      <c r="Q38" s="20">
        <f t="shared" si="6"/>
        <v>29921.348762266982</v>
      </c>
      <c r="R38" s="20">
        <f t="shared" si="6"/>
        <v>30712.934867607491</v>
      </c>
      <c r="S38" s="20">
        <f t="shared" si="6"/>
        <v>32233.638926322757</v>
      </c>
      <c r="T38" s="20">
        <f t="shared" si="6"/>
        <v>33772.30046454235</v>
      </c>
      <c r="U38" s="20">
        <f t="shared" si="6"/>
        <v>34627.323853273192</v>
      </c>
      <c r="V38" s="20">
        <f t="shared" si="6"/>
        <v>35503.722826722311</v>
      </c>
      <c r="W38" s="20">
        <f t="shared" si="6"/>
        <v>36402.031774507639</v>
      </c>
      <c r="X38" s="20">
        <f>X31+X37</f>
        <v>37663.95698278286</v>
      </c>
      <c r="Y38" s="20">
        <f>Y31+Y37</f>
        <v>38607.74282104984</v>
      </c>
      <c r="Z38" s="20">
        <f>Z31+Z37</f>
        <v>39575.123305273482</v>
      </c>
      <c r="AA38" s="20">
        <f>AA31+AA37</f>
        <v>40566.68830160272</v>
      </c>
      <c r="AB38" s="20">
        <f>AB31+AB37</f>
        <v>41583.04242284019</v>
      </c>
    </row>
    <row r="39" spans="1:28" x14ac:dyDescent="0.25">
      <c r="B39" s="43" t="s">
        <v>120</v>
      </c>
      <c r="C39" s="10"/>
      <c r="D39" s="27">
        <f>-D38*$D$7</f>
        <v>8398.4509668315532</v>
      </c>
      <c r="E39" s="27">
        <f t="shared" ref="E39:W39" si="7">-E38*$D$7</f>
        <v>16240.650288028792</v>
      </c>
      <c r="F39" s="27">
        <f t="shared" si="7"/>
        <v>7815.7236941705987</v>
      </c>
      <c r="G39" s="27">
        <f t="shared" si="7"/>
        <v>2694.0356476124111</v>
      </c>
      <c r="H39" s="27">
        <f t="shared" si="7"/>
        <v>2525.1671213848858</v>
      </c>
      <c r="I39" s="27">
        <f t="shared" si="7"/>
        <v>-1357.435498252956</v>
      </c>
      <c r="J39" s="27">
        <f t="shared" si="7"/>
        <v>-5224.8202328553489</v>
      </c>
      <c r="K39" s="27">
        <f t="shared" si="7"/>
        <v>-5365.0882428454252</v>
      </c>
      <c r="L39" s="27">
        <f t="shared" si="7"/>
        <v>-5508.3614500361664</v>
      </c>
      <c r="M39" s="27">
        <f t="shared" si="7"/>
        <v>-5656.2320310810774</v>
      </c>
      <c r="N39" s="27">
        <f t="shared" si="7"/>
        <v>-5806.7838329777087</v>
      </c>
      <c r="O39" s="27">
        <f t="shared" si="7"/>
        <v>-5962.114973596159</v>
      </c>
      <c r="P39" s="27">
        <f t="shared" si="7"/>
        <v>-6120.3138490556657</v>
      </c>
      <c r="Q39" s="27">
        <f t="shared" si="7"/>
        <v>-6283.4832400760661</v>
      </c>
      <c r="R39" s="27">
        <f t="shared" si="7"/>
        <v>-6449.7163221975734</v>
      </c>
      <c r="S39" s="27">
        <f t="shared" si="7"/>
        <v>-6769.064174527779</v>
      </c>
      <c r="T39" s="27">
        <f t="shared" si="7"/>
        <v>-7092.1830975538933</v>
      </c>
      <c r="U39" s="27">
        <f t="shared" si="7"/>
        <v>-7271.7380091873702</v>
      </c>
      <c r="V39" s="27">
        <f t="shared" si="7"/>
        <v>-7455.7817936116853</v>
      </c>
      <c r="W39" s="27">
        <f t="shared" si="7"/>
        <v>-7644.4266726466039</v>
      </c>
      <c r="X39" s="27">
        <f>-X38*$D$7</f>
        <v>-7909.4309663844006</v>
      </c>
      <c r="Y39" s="27">
        <f>-Y38*$D$7</f>
        <v>-8107.625992420466</v>
      </c>
      <c r="Z39" s="27">
        <f>-Z38*$D$7</f>
        <v>-8310.7758941074317</v>
      </c>
      <c r="AA39" s="27">
        <f>-AA38*$D$7</f>
        <v>-8519.0045433365704</v>
      </c>
      <c r="AB39" s="27">
        <f>-AB38*$D$7</f>
        <v>-8732.4389087964391</v>
      </c>
    </row>
    <row r="40" spans="1:28" x14ac:dyDescent="0.25">
      <c r="B40" s="10"/>
      <c r="C40" s="10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</row>
    <row r="41" spans="1:28" x14ac:dyDescent="0.25">
      <c r="B41" s="28" t="s">
        <v>122</v>
      </c>
      <c r="C41" s="28"/>
      <c r="D41" s="25">
        <f>D31+D39</f>
        <v>31437.05390187155</v>
      </c>
      <c r="E41" s="25">
        <f t="shared" ref="E41:W41" si="8">E31+E39</f>
        <v>39855.218296444786</v>
      </c>
      <c r="F41" s="25">
        <f t="shared" si="8"/>
        <v>32020.655902796992</v>
      </c>
      <c r="G41" s="25">
        <f t="shared" si="8"/>
        <v>27504.091161454464</v>
      </c>
      <c r="H41" s="25">
        <f t="shared" si="8"/>
        <v>27955.474023072991</v>
      </c>
      <c r="I41" s="25">
        <f t="shared" si="8"/>
        <v>24708.629075977355</v>
      </c>
      <c r="J41" s="25">
        <f t="shared" si="8"/>
        <v>21492.895955730706</v>
      </c>
      <c r="K41" s="25">
        <f t="shared" si="8"/>
        <v>22020.570850455279</v>
      </c>
      <c r="L41" s="25">
        <f t="shared" si="8"/>
        <v>22561.939120597061</v>
      </c>
      <c r="M41" s="25">
        <f t="shared" si="8"/>
        <v>23115.826053817975</v>
      </c>
      <c r="N41" s="25">
        <f t="shared" si="8"/>
        <v>23684.575704043818</v>
      </c>
      <c r="O41" s="25">
        <f t="shared" si="8"/>
        <v>24266.528551850897</v>
      </c>
      <c r="P41" s="25">
        <f t="shared" si="8"/>
        <v>24864.04576452756</v>
      </c>
      <c r="Q41" s="25">
        <f t="shared" si="8"/>
        <v>25475.485363846739</v>
      </c>
      <c r="R41" s="25">
        <f t="shared" si="8"/>
        <v>26103.226496823307</v>
      </c>
      <c r="S41" s="25">
        <f t="shared" si="8"/>
        <v>26597.70221496862</v>
      </c>
      <c r="T41" s="25">
        <f t="shared" si="8"/>
        <v>27108.752451679913</v>
      </c>
      <c r="U41" s="25">
        <f t="shared" si="8"/>
        <v>27784.220928777278</v>
      </c>
      <c r="V41" s="25">
        <f t="shared" si="8"/>
        <v>28476.576117802084</v>
      </c>
      <c r="W41" s="25">
        <f t="shared" si="8"/>
        <v>29186.240186552492</v>
      </c>
      <c r="X41" s="25">
        <f>X31+X39</f>
        <v>29842.002564294675</v>
      </c>
      <c r="Y41" s="25">
        <f>Y31+Y39</f>
        <v>30587.59337652559</v>
      </c>
      <c r="Z41" s="25">
        <f>Z31+Z39</f>
        <v>31351.823959062265</v>
      </c>
      <c r="AA41" s="25">
        <f>AA31+AA39</f>
        <v>32135.160306162365</v>
      </c>
      <c r="AB41" s="25">
        <f>AB31+AB39</f>
        <v>32938.080061939967</v>
      </c>
    </row>
    <row r="42" spans="1:28" x14ac:dyDescent="0.25">
      <c r="B42" s="44"/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</row>
    <row r="43" spans="1:28" x14ac:dyDescent="0.25">
      <c r="B43" s="2" t="s">
        <v>50</v>
      </c>
      <c r="C43" s="20">
        <f>-Assumptions!D19</f>
        <v>-318779.99999999994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x14ac:dyDescent="0.25">
      <c r="B44" s="2" t="s">
        <v>49</v>
      </c>
      <c r="C44" s="20">
        <f>Assumptions!$L$13*-C43</f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x14ac:dyDescent="0.25">
      <c r="B45" s="2" t="s">
        <v>51</v>
      </c>
      <c r="C45" s="20">
        <f>SUM(C41:C44)</f>
        <v>-318779.99999999994</v>
      </c>
      <c r="D45" s="20">
        <f t="shared" ref="D45:W45" si="9">SUM(D41:D44)</f>
        <v>31437.05390187155</v>
      </c>
      <c r="E45" s="20">
        <f t="shared" si="9"/>
        <v>39855.218296444786</v>
      </c>
      <c r="F45" s="20">
        <f t="shared" si="9"/>
        <v>32020.655902796992</v>
      </c>
      <c r="G45" s="20">
        <f t="shared" si="9"/>
        <v>27504.091161454464</v>
      </c>
      <c r="H45" s="20">
        <f t="shared" si="9"/>
        <v>27955.474023072991</v>
      </c>
      <c r="I45" s="20">
        <f t="shared" si="9"/>
        <v>24708.629075977355</v>
      </c>
      <c r="J45" s="20">
        <f t="shared" si="9"/>
        <v>21492.895955730706</v>
      </c>
      <c r="K45" s="20">
        <f t="shared" si="9"/>
        <v>22020.570850455279</v>
      </c>
      <c r="L45" s="20">
        <f t="shared" si="9"/>
        <v>22561.939120597061</v>
      </c>
      <c r="M45" s="20">
        <f t="shared" si="9"/>
        <v>23115.826053817975</v>
      </c>
      <c r="N45" s="20">
        <f t="shared" si="9"/>
        <v>23684.575704043818</v>
      </c>
      <c r="O45" s="20">
        <f t="shared" si="9"/>
        <v>24266.528551850897</v>
      </c>
      <c r="P45" s="20">
        <f t="shared" si="9"/>
        <v>24864.04576452756</v>
      </c>
      <c r="Q45" s="20">
        <f t="shared" si="9"/>
        <v>25475.485363846739</v>
      </c>
      <c r="R45" s="20">
        <f t="shared" si="9"/>
        <v>26103.226496823307</v>
      </c>
      <c r="S45" s="20">
        <f t="shared" si="9"/>
        <v>26597.70221496862</v>
      </c>
      <c r="T45" s="20">
        <f t="shared" si="9"/>
        <v>27108.752451679913</v>
      </c>
      <c r="U45" s="20">
        <f t="shared" si="9"/>
        <v>27784.220928777278</v>
      </c>
      <c r="V45" s="20">
        <f t="shared" si="9"/>
        <v>28476.576117802084</v>
      </c>
      <c r="W45" s="20">
        <f t="shared" si="9"/>
        <v>29186.240186552492</v>
      </c>
      <c r="X45" s="20">
        <f>SUM(X41:X44)</f>
        <v>29842.002564294675</v>
      </c>
      <c r="Y45" s="20">
        <f>SUM(Y41:Y44)</f>
        <v>30587.59337652559</v>
      </c>
      <c r="Z45" s="20">
        <f>SUM(Z41:Z44)</f>
        <v>31351.823959062265</v>
      </c>
      <c r="AA45" s="20">
        <f>SUM(AA41:AA44)</f>
        <v>32135.160306162365</v>
      </c>
      <c r="AB45" s="20">
        <f>SUM(AB41:AB44)</f>
        <v>32938.080061939967</v>
      </c>
    </row>
    <row r="46" spans="1:28" ht="14.4" thickBot="1" x14ac:dyDescent="0.3"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4.4" thickBot="1" x14ac:dyDescent="0.3">
      <c r="B47" s="29" t="s">
        <v>52</v>
      </c>
      <c r="C47" s="30">
        <f>IRR(C45:AB45)</f>
        <v>7.1848158453108102E-2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x14ac:dyDescent="0.25"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x14ac:dyDescent="0.25">
      <c r="A49" s="35"/>
      <c r="B49" s="35" t="s">
        <v>53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</row>
    <row r="50" spans="1:28" x14ac:dyDescent="0.25"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x14ac:dyDescent="0.25">
      <c r="B51" s="38" t="s">
        <v>74</v>
      </c>
      <c r="C51" s="39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</row>
    <row r="52" spans="1:28" x14ac:dyDescent="0.25">
      <c r="B52" s="2" t="s">
        <v>41</v>
      </c>
      <c r="C52" s="20"/>
      <c r="D52" s="20">
        <f t="shared" ref="D52:W52" si="10">D31</f>
        <v>23038.602935039999</v>
      </c>
      <c r="E52" s="20">
        <f t="shared" si="10"/>
        <v>23614.568008415998</v>
      </c>
      <c r="F52" s="20">
        <f t="shared" si="10"/>
        <v>24204.932208626393</v>
      </c>
      <c r="G52" s="20">
        <f t="shared" si="10"/>
        <v>24810.055513842053</v>
      </c>
      <c r="H52" s="20">
        <f t="shared" si="10"/>
        <v>25430.306901688105</v>
      </c>
      <c r="I52" s="20">
        <f t="shared" si="10"/>
        <v>26066.06457423031</v>
      </c>
      <c r="J52" s="20">
        <f t="shared" si="10"/>
        <v>26717.716188586055</v>
      </c>
      <c r="K52" s="20">
        <f t="shared" si="10"/>
        <v>27385.659093300703</v>
      </c>
      <c r="L52" s="20">
        <f t="shared" si="10"/>
        <v>28070.300570633226</v>
      </c>
      <c r="M52" s="20">
        <f t="shared" si="10"/>
        <v>28772.05808489905</v>
      </c>
      <c r="N52" s="20">
        <f t="shared" si="10"/>
        <v>29491.359537021526</v>
      </c>
      <c r="O52" s="20">
        <f t="shared" si="10"/>
        <v>30228.643525447056</v>
      </c>
      <c r="P52" s="20">
        <f t="shared" si="10"/>
        <v>30984.359613583227</v>
      </c>
      <c r="Q52" s="20">
        <f t="shared" si="10"/>
        <v>31758.968603922804</v>
      </c>
      <c r="R52" s="20">
        <f t="shared" si="10"/>
        <v>32552.942819020878</v>
      </c>
      <c r="S52" s="20">
        <f t="shared" si="10"/>
        <v>33366.766389496399</v>
      </c>
      <c r="T52" s="20">
        <f t="shared" si="10"/>
        <v>34200.935549233807</v>
      </c>
      <c r="U52" s="20">
        <f t="shared" si="10"/>
        <v>35055.95893796465</v>
      </c>
      <c r="V52" s="20">
        <f t="shared" si="10"/>
        <v>35932.357911413768</v>
      </c>
      <c r="W52" s="20">
        <f t="shared" si="10"/>
        <v>36830.666859199097</v>
      </c>
      <c r="X52" s="20">
        <f>X31</f>
        <v>37751.433530679074</v>
      </c>
      <c r="Y52" s="20">
        <f>Y31</f>
        <v>38695.219368946055</v>
      </c>
      <c r="Z52" s="20">
        <f>Z31</f>
        <v>39662.599853169697</v>
      </c>
      <c r="AA52" s="20">
        <f>AA31</f>
        <v>40654.164849498935</v>
      </c>
      <c r="AB52" s="20">
        <f>AB31</f>
        <v>41670.518970736404</v>
      </c>
    </row>
    <row r="53" spans="1:28" x14ac:dyDescent="0.25">
      <c r="B53" s="36" t="s">
        <v>124</v>
      </c>
      <c r="C53" s="20"/>
      <c r="D53" s="20">
        <f>-Debt!D31</f>
        <v>-17722.002257723074</v>
      </c>
      <c r="E53" s="20">
        <f>-Debt!E31</f>
        <v>-18165.052314166151</v>
      </c>
      <c r="F53" s="20">
        <f>-Debt!F31</f>
        <v>-18619.178622020303</v>
      </c>
      <c r="G53" s="20">
        <f>-Debt!G31</f>
        <v>-19084.65808757081</v>
      </c>
      <c r="H53" s="20">
        <f>-Debt!H31</f>
        <v>-19561.774539760081</v>
      </c>
      <c r="I53" s="20">
        <f>-Debt!I31</f>
        <v>-20050.818903254083</v>
      </c>
      <c r="J53" s="20">
        <f>-Debt!J31</f>
        <v>-20552.089375835425</v>
      </c>
      <c r="K53" s="20">
        <f>-Debt!K31</f>
        <v>-21065.891610231309</v>
      </c>
      <c r="L53" s="20">
        <f>-Debt!L31</f>
        <v>-21592.538900487096</v>
      </c>
      <c r="M53" s="20">
        <f>-Debt!M31</f>
        <v>-22132.35237299927</v>
      </c>
      <c r="N53" s="20">
        <f>-Debt!N31</f>
        <v>-22685.661182324249</v>
      </c>
      <c r="O53" s="20">
        <f>-Debt!O31</f>
        <v>-23252.802711882348</v>
      </c>
      <c r="P53" s="20">
        <f>-Debt!P31</f>
        <v>-23834.122779679405</v>
      </c>
      <c r="Q53" s="20">
        <f>-Debt!Q31</f>
        <v>-24429.975849171387</v>
      </c>
      <c r="R53" s="20">
        <f>-Debt!R31</f>
        <v>-25040.725245400674</v>
      </c>
      <c r="S53" s="20">
        <f>-Debt!S31</f>
        <v>-25666.743376535691</v>
      </c>
      <c r="T53" s="20">
        <f>-Debt!T31</f>
        <v>-26308.411960949081</v>
      </c>
      <c r="U53" s="20">
        <f>-Debt!U31</f>
        <v>-26966.122259972806</v>
      </c>
      <c r="V53" s="20">
        <f>-Debt!V31</f>
        <v>0</v>
      </c>
      <c r="W53" s="20">
        <f>-Debt!W31</f>
        <v>0</v>
      </c>
      <c r="X53" s="20">
        <f>-Debt!X31</f>
        <v>0</v>
      </c>
      <c r="Y53" s="20">
        <f>-Debt!Y31</f>
        <v>0</v>
      </c>
      <c r="Z53" s="20">
        <f>-Debt!Z31</f>
        <v>0</v>
      </c>
      <c r="AA53" s="20">
        <f>-Debt!AA31</f>
        <v>0</v>
      </c>
      <c r="AB53" s="20">
        <f>-Debt!AB31</f>
        <v>0</v>
      </c>
    </row>
    <row r="54" spans="1:28" x14ac:dyDescent="0.25">
      <c r="B54" s="46" t="s">
        <v>125</v>
      </c>
      <c r="C54" s="31"/>
      <c r="D54" s="31">
        <f>D52+D53</f>
        <v>5316.6006773169247</v>
      </c>
      <c r="E54" s="31">
        <f t="shared" ref="E54:W54" si="11">E52+E53</f>
        <v>5449.515694249847</v>
      </c>
      <c r="F54" s="31">
        <f t="shared" si="11"/>
        <v>5585.7535866060898</v>
      </c>
      <c r="G54" s="31">
        <f t="shared" si="11"/>
        <v>5725.3974262712436</v>
      </c>
      <c r="H54" s="31">
        <f t="shared" si="11"/>
        <v>5868.5323619280243</v>
      </c>
      <c r="I54" s="31">
        <f t="shared" si="11"/>
        <v>6015.2456709762264</v>
      </c>
      <c r="J54" s="31">
        <f t="shared" si="11"/>
        <v>6165.6268127506301</v>
      </c>
      <c r="K54" s="31">
        <f t="shared" si="11"/>
        <v>6319.7674830693941</v>
      </c>
      <c r="L54" s="31">
        <f t="shared" si="11"/>
        <v>6477.7616701461302</v>
      </c>
      <c r="M54" s="31">
        <f t="shared" si="11"/>
        <v>6639.70571189978</v>
      </c>
      <c r="N54" s="31">
        <f t="shared" si="11"/>
        <v>6805.698354697277</v>
      </c>
      <c r="O54" s="31">
        <f t="shared" si="11"/>
        <v>6975.8408135647078</v>
      </c>
      <c r="P54" s="31">
        <f t="shared" si="11"/>
        <v>7150.2368339038221</v>
      </c>
      <c r="Q54" s="31">
        <f t="shared" si="11"/>
        <v>7328.9927547514162</v>
      </c>
      <c r="R54" s="31">
        <f t="shared" si="11"/>
        <v>7512.2175736202043</v>
      </c>
      <c r="S54" s="31">
        <f t="shared" si="11"/>
        <v>7700.023012960708</v>
      </c>
      <c r="T54" s="31">
        <f t="shared" si="11"/>
        <v>7892.5235882847264</v>
      </c>
      <c r="U54" s="31">
        <f t="shared" si="11"/>
        <v>8089.8366779918433</v>
      </c>
      <c r="V54" s="31">
        <f t="shared" si="11"/>
        <v>35932.357911413768</v>
      </c>
      <c r="W54" s="31">
        <f t="shared" si="11"/>
        <v>36830.666859199097</v>
      </c>
      <c r="X54" s="31">
        <f>X52+X53</f>
        <v>37751.433530679074</v>
      </c>
      <c r="Y54" s="31">
        <f>Y52+Y53</f>
        <v>38695.219368946055</v>
      </c>
      <c r="Z54" s="31">
        <f>Z52+Z53</f>
        <v>39662.599853169697</v>
      </c>
      <c r="AA54" s="31">
        <f>AA52+AA53</f>
        <v>40654.164849498935</v>
      </c>
      <c r="AB54" s="31">
        <f>AB52+AB53</f>
        <v>41670.518970736404</v>
      </c>
    </row>
    <row r="55" spans="1:28" x14ac:dyDescent="0.25"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x14ac:dyDescent="0.25">
      <c r="B56" s="2" t="s">
        <v>50</v>
      </c>
      <c r="C56" s="20">
        <f>-Assumptions!$L$8</f>
        <v>-46914.327398839581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x14ac:dyDescent="0.25">
      <c r="B57" s="2" t="s">
        <v>49</v>
      </c>
      <c r="C57" s="20">
        <f>C44</f>
        <v>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x14ac:dyDescent="0.25">
      <c r="B58" s="2" t="s">
        <v>55</v>
      </c>
      <c r="C58" s="20">
        <f>SUM(C54:C57)</f>
        <v>-46914.327398839581</v>
      </c>
      <c r="D58" s="20">
        <f t="shared" ref="D58:W58" si="12">SUM(D54:D57)</f>
        <v>5316.6006773169247</v>
      </c>
      <c r="E58" s="20">
        <f t="shared" si="12"/>
        <v>5449.515694249847</v>
      </c>
      <c r="F58" s="20">
        <f t="shared" si="12"/>
        <v>5585.7535866060898</v>
      </c>
      <c r="G58" s="20">
        <f t="shared" si="12"/>
        <v>5725.3974262712436</v>
      </c>
      <c r="H58" s="20">
        <f t="shared" si="12"/>
        <v>5868.5323619280243</v>
      </c>
      <c r="I58" s="20">
        <f t="shared" si="12"/>
        <v>6015.2456709762264</v>
      </c>
      <c r="J58" s="20">
        <f t="shared" si="12"/>
        <v>6165.6268127506301</v>
      </c>
      <c r="K58" s="20">
        <f t="shared" si="12"/>
        <v>6319.7674830693941</v>
      </c>
      <c r="L58" s="20">
        <f t="shared" si="12"/>
        <v>6477.7616701461302</v>
      </c>
      <c r="M58" s="20">
        <f t="shared" si="12"/>
        <v>6639.70571189978</v>
      </c>
      <c r="N58" s="20">
        <f t="shared" si="12"/>
        <v>6805.698354697277</v>
      </c>
      <c r="O58" s="20">
        <f t="shared" si="12"/>
        <v>6975.8408135647078</v>
      </c>
      <c r="P58" s="20">
        <f t="shared" si="12"/>
        <v>7150.2368339038221</v>
      </c>
      <c r="Q58" s="20">
        <f t="shared" si="12"/>
        <v>7328.9927547514162</v>
      </c>
      <c r="R58" s="20">
        <f t="shared" si="12"/>
        <v>7512.2175736202043</v>
      </c>
      <c r="S58" s="20">
        <f t="shared" si="12"/>
        <v>7700.023012960708</v>
      </c>
      <c r="T58" s="20">
        <f t="shared" si="12"/>
        <v>7892.5235882847264</v>
      </c>
      <c r="U58" s="20">
        <f t="shared" si="12"/>
        <v>8089.8366779918433</v>
      </c>
      <c r="V58" s="20">
        <f t="shared" si="12"/>
        <v>35932.357911413768</v>
      </c>
      <c r="W58" s="20">
        <f t="shared" si="12"/>
        <v>36830.666859199097</v>
      </c>
      <c r="X58" s="20">
        <f>SUM(X54:X57)</f>
        <v>37751.433530679074</v>
      </c>
      <c r="Y58" s="20">
        <f>SUM(Y54:Y57)</f>
        <v>38695.219368946055</v>
      </c>
      <c r="Z58" s="20">
        <f>SUM(Z54:Z57)</f>
        <v>39662.599853169697</v>
      </c>
      <c r="AA58" s="20">
        <f>SUM(AA54:AA57)</f>
        <v>40654.164849498935</v>
      </c>
      <c r="AB58" s="20">
        <f>SUM(AB54:AB57)</f>
        <v>41670.518970736404</v>
      </c>
    </row>
    <row r="59" spans="1:28" ht="14.4" thickBot="1" x14ac:dyDescent="0.3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4.4" thickBot="1" x14ac:dyDescent="0.3">
      <c r="B60" s="29" t="s">
        <v>52</v>
      </c>
      <c r="C60" s="30">
        <f>IRR(C58:AB58)</f>
        <v>0.1572114165647378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x14ac:dyDescent="0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x14ac:dyDescent="0.25">
      <c r="B62" s="38" t="s">
        <v>75</v>
      </c>
      <c r="C62" s="39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</row>
    <row r="63" spans="1:28" ht="14.4" x14ac:dyDescent="0.3">
      <c r="B63" s="47" t="s">
        <v>121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x14ac:dyDescent="0.25">
      <c r="B64" s="48" t="s">
        <v>41</v>
      </c>
      <c r="C64" s="20"/>
      <c r="D64" s="20">
        <f t="shared" ref="D64:W64" si="13">D31</f>
        <v>23038.602935039999</v>
      </c>
      <c r="E64" s="20">
        <f t="shared" si="13"/>
        <v>23614.568008415998</v>
      </c>
      <c r="F64" s="20">
        <f t="shared" si="13"/>
        <v>24204.932208626393</v>
      </c>
      <c r="G64" s="20">
        <f t="shared" si="13"/>
        <v>24810.055513842053</v>
      </c>
      <c r="H64" s="20">
        <f t="shared" si="13"/>
        <v>25430.306901688105</v>
      </c>
      <c r="I64" s="20">
        <f t="shared" si="13"/>
        <v>26066.06457423031</v>
      </c>
      <c r="J64" s="20">
        <f t="shared" si="13"/>
        <v>26717.716188586055</v>
      </c>
      <c r="K64" s="20">
        <f t="shared" si="13"/>
        <v>27385.659093300703</v>
      </c>
      <c r="L64" s="20">
        <f t="shared" si="13"/>
        <v>28070.300570633226</v>
      </c>
      <c r="M64" s="20">
        <f t="shared" si="13"/>
        <v>28772.05808489905</v>
      </c>
      <c r="N64" s="20">
        <f t="shared" si="13"/>
        <v>29491.359537021526</v>
      </c>
      <c r="O64" s="20">
        <f t="shared" si="13"/>
        <v>30228.643525447056</v>
      </c>
      <c r="P64" s="20">
        <f t="shared" si="13"/>
        <v>30984.359613583227</v>
      </c>
      <c r="Q64" s="20">
        <f t="shared" si="13"/>
        <v>31758.968603922804</v>
      </c>
      <c r="R64" s="20">
        <f t="shared" si="13"/>
        <v>32552.942819020878</v>
      </c>
      <c r="S64" s="20">
        <f t="shared" si="13"/>
        <v>33366.766389496399</v>
      </c>
      <c r="T64" s="20">
        <f t="shared" si="13"/>
        <v>34200.935549233807</v>
      </c>
      <c r="U64" s="20">
        <f t="shared" si="13"/>
        <v>35055.95893796465</v>
      </c>
      <c r="V64" s="20">
        <f t="shared" si="13"/>
        <v>35932.357911413768</v>
      </c>
      <c r="W64" s="20">
        <f t="shared" si="13"/>
        <v>36830.666859199097</v>
      </c>
      <c r="X64" s="20">
        <f>X31</f>
        <v>37751.433530679074</v>
      </c>
      <c r="Y64" s="20">
        <f>Y31</f>
        <v>38695.219368946055</v>
      </c>
      <c r="Z64" s="20">
        <f>Z31</f>
        <v>39662.599853169697</v>
      </c>
      <c r="AA64" s="20">
        <f>AA31</f>
        <v>40654.164849498935</v>
      </c>
      <c r="AB64" s="20">
        <f>AB31</f>
        <v>41670.518970736404</v>
      </c>
    </row>
    <row r="65" spans="2:28" x14ac:dyDescent="0.25">
      <c r="B65" s="48" t="s">
        <v>127</v>
      </c>
      <c r="C65" s="20"/>
      <c r="D65" s="20">
        <f>Debt!D35</f>
        <v>-10874.626904046414</v>
      </c>
      <c r="E65" s="20">
        <f>Debt!E35</f>
        <v>-10600.731889899347</v>
      </c>
      <c r="F65" s="20">
        <f>Debt!F35</f>
        <v>-10298.159072928676</v>
      </c>
      <c r="G65" s="20">
        <f>Debt!G35</f>
        <v>-9965.3182909650095</v>
      </c>
      <c r="H65" s="20">
        <f>Debt!H35</f>
        <v>-9600.5446991007775</v>
      </c>
      <c r="I65" s="20">
        <f>Debt!I35</f>
        <v>-9202.0955054744063</v>
      </c>
      <c r="J65" s="20">
        <f>Debt!J35</f>
        <v>-8768.1465695632178</v>
      </c>
      <c r="K65" s="20">
        <f>Debt!K35</f>
        <v>-8296.7888573123291</v>
      </c>
      <c r="L65" s="20">
        <f>Debt!L35</f>
        <v>-7786.0247471955699</v>
      </c>
      <c r="M65" s="20">
        <f>Debt!M35</f>
        <v>-7233.7641810639088</v>
      </c>
      <c r="N65" s="20">
        <f>Debt!N35</f>
        <v>-6637.8206533864941</v>
      </c>
      <c r="O65" s="20">
        <f>Debt!O35</f>
        <v>-5995.9070322289845</v>
      </c>
      <c r="P65" s="20">
        <f>Debt!P35</f>
        <v>-5305.6312050428496</v>
      </c>
      <c r="Q65" s="20">
        <f>Debt!Q35</f>
        <v>-4564.491542057388</v>
      </c>
      <c r="R65" s="20">
        <f>Debt!R35</f>
        <v>-3769.8721697728279</v>
      </c>
      <c r="S65" s="20">
        <f>Debt!S35</f>
        <v>-2919.0380467477139</v>
      </c>
      <c r="T65" s="20">
        <f>Debt!T35</f>
        <v>-2009.1298335561949</v>
      </c>
      <c r="U65" s="20">
        <f>Debt!U35</f>
        <v>-1037.1585484604793</v>
      </c>
      <c r="V65" s="20">
        <f>Debt!V35</f>
        <v>1.3678800314664842E-11</v>
      </c>
      <c r="W65" s="20">
        <f>Debt!W35</f>
        <v>1.4225952327251435E-11</v>
      </c>
      <c r="X65" s="20">
        <f>Debt!X35</f>
        <v>1.4794990420341492E-11</v>
      </c>
      <c r="Y65" s="20">
        <f>Debt!Y35</f>
        <v>1.5386790037155153E-11</v>
      </c>
      <c r="Z65" s="20">
        <f>Debt!Z35</f>
        <v>1.6002261638641358E-11</v>
      </c>
      <c r="AA65" s="20">
        <f>Debt!AA35</f>
        <v>1.6642352104187011E-11</v>
      </c>
      <c r="AB65" s="20">
        <f>Debt!AB35</f>
        <v>1.7308046188354495E-11</v>
      </c>
    </row>
    <row r="66" spans="2:28" x14ac:dyDescent="0.25">
      <c r="B66" s="49" t="s">
        <v>42</v>
      </c>
      <c r="C66" s="32"/>
      <c r="D66" s="32">
        <f t="shared" ref="D66:W66" si="14">D37</f>
        <v>-63031.226586618825</v>
      </c>
      <c r="E66" s="32">
        <f t="shared" si="14"/>
        <v>-100950.99795141025</v>
      </c>
      <c r="F66" s="32">
        <f t="shared" si="14"/>
        <v>-61422.664085629243</v>
      </c>
      <c r="G66" s="32">
        <f t="shared" si="14"/>
        <v>-37638.796692948774</v>
      </c>
      <c r="H66" s="32">
        <f t="shared" si="14"/>
        <v>-37454.912241616134</v>
      </c>
      <c r="I66" s="32">
        <f t="shared" si="14"/>
        <v>-19602.086011120995</v>
      </c>
      <c r="J66" s="32">
        <f t="shared" si="14"/>
        <v>-1837.6198416558204</v>
      </c>
      <c r="K66" s="32">
        <f t="shared" si="14"/>
        <v>-1837.6198416558204</v>
      </c>
      <c r="L66" s="32">
        <f t="shared" si="14"/>
        <v>-1840.0079514133872</v>
      </c>
      <c r="M66" s="32">
        <f t="shared" si="14"/>
        <v>-1837.6198416558204</v>
      </c>
      <c r="N66" s="32">
        <f t="shared" si="14"/>
        <v>-1840.0079514133872</v>
      </c>
      <c r="O66" s="32">
        <f t="shared" si="14"/>
        <v>-1837.6198416558204</v>
      </c>
      <c r="P66" s="32">
        <f t="shared" si="14"/>
        <v>-1840.0079514133872</v>
      </c>
      <c r="Q66" s="32">
        <f t="shared" si="14"/>
        <v>-1837.6198416558204</v>
      </c>
      <c r="R66" s="32">
        <f t="shared" si="14"/>
        <v>-1840.0079514133872</v>
      </c>
      <c r="S66" s="32">
        <f t="shared" si="14"/>
        <v>-1133.1274631736405</v>
      </c>
      <c r="T66" s="32">
        <f t="shared" si="14"/>
        <v>-428.63508469146097</v>
      </c>
      <c r="U66" s="32">
        <f t="shared" si="14"/>
        <v>-428.63508469146097</v>
      </c>
      <c r="V66" s="32">
        <f t="shared" si="14"/>
        <v>-428.63508469146097</v>
      </c>
      <c r="W66" s="32">
        <f t="shared" si="14"/>
        <v>-428.63508469146097</v>
      </c>
      <c r="X66" s="32">
        <f>X37</f>
        <v>-87.476547896216516</v>
      </c>
      <c r="Y66" s="32">
        <f>Y37</f>
        <v>-87.476547896216516</v>
      </c>
      <c r="Z66" s="32">
        <f>Z37</f>
        <v>-87.476547896216516</v>
      </c>
      <c r="AA66" s="32">
        <f>AA37</f>
        <v>-87.476547896216516</v>
      </c>
      <c r="AB66" s="32">
        <f>AB37</f>
        <v>-87.476547896216516</v>
      </c>
    </row>
    <row r="67" spans="2:28" x14ac:dyDescent="0.25">
      <c r="B67" s="48" t="s">
        <v>126</v>
      </c>
      <c r="C67" s="20"/>
      <c r="D67" s="20">
        <f t="shared" ref="D67:J67" si="15">IF(SUM(D64:D66)&gt;0,SUM(D64:D66)*-$D$7,0)</f>
        <v>0</v>
      </c>
      <c r="E67" s="20">
        <f t="shared" si="15"/>
        <v>0</v>
      </c>
      <c r="F67" s="20">
        <f t="shared" si="15"/>
        <v>0</v>
      </c>
      <c r="G67" s="20">
        <f t="shared" si="15"/>
        <v>0</v>
      </c>
      <c r="H67" s="20">
        <f t="shared" si="15"/>
        <v>0</v>
      </c>
      <c r="I67" s="20">
        <f t="shared" si="15"/>
        <v>0</v>
      </c>
      <c r="J67" s="20">
        <f t="shared" si="15"/>
        <v>-3383.5094532470735</v>
      </c>
      <c r="K67" s="20">
        <f t="shared" ref="K67:W67" si="16">IF(SUM(K64:K66)&gt;0,SUM(K64:K66)*-$D$7,0)</f>
        <v>-3622.7625828098362</v>
      </c>
      <c r="L67" s="20">
        <f t="shared" si="16"/>
        <v>-3873.2962531250964</v>
      </c>
      <c r="M67" s="20">
        <f t="shared" si="16"/>
        <v>-4137.1415530576569</v>
      </c>
      <c r="N67" s="20">
        <f t="shared" si="16"/>
        <v>-4412.8414957665454</v>
      </c>
      <c r="O67" s="20">
        <f t="shared" si="16"/>
        <v>-4702.974496828072</v>
      </c>
      <c r="P67" s="20">
        <f t="shared" si="16"/>
        <v>-5006.1312959966681</v>
      </c>
      <c r="Q67" s="20">
        <f t="shared" si="16"/>
        <v>-5324.9400162440143</v>
      </c>
      <c r="R67" s="20">
        <f t="shared" si="16"/>
        <v>-5658.0431665452788</v>
      </c>
      <c r="S67" s="20">
        <f t="shared" si="16"/>
        <v>-6156.0661847107585</v>
      </c>
      <c r="T67" s="20">
        <f t="shared" si="16"/>
        <v>-6670.2658325070915</v>
      </c>
      <c r="U67" s="20">
        <f t="shared" si="16"/>
        <v>-7053.9347140106693</v>
      </c>
      <c r="V67" s="20">
        <f t="shared" si="16"/>
        <v>-7455.781793611688</v>
      </c>
      <c r="W67" s="20">
        <f t="shared" si="16"/>
        <v>-7644.4266726466067</v>
      </c>
      <c r="X67" s="20">
        <f>IF(SUM(X64:X66)&gt;0,SUM(X64:X66)*-$D$7,0)</f>
        <v>-7909.4309663844033</v>
      </c>
      <c r="Y67" s="20">
        <f>IF(SUM(Y64:Y66)&gt;0,SUM(Y64:Y66)*-$D$7,0)</f>
        <v>-8107.6259924204696</v>
      </c>
      <c r="Z67" s="20">
        <f>IF(SUM(Z64:Z66)&gt;0,SUM(Z64:Z66)*-$D$7,0)</f>
        <v>-8310.7758941074335</v>
      </c>
      <c r="AA67" s="20">
        <f>IF(SUM(AA64:AA66)&gt;0,SUM(AA64:AA66)*-$D$7,0)</f>
        <v>-8519.004543336574</v>
      </c>
      <c r="AB67" s="20">
        <f>IF(SUM(AB64:AB66)&gt;0,SUM(AB64:AB66)*-$D$7,0)</f>
        <v>-8732.4389087964428</v>
      </c>
    </row>
    <row r="68" spans="2:28" x14ac:dyDescent="0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2:28" x14ac:dyDescent="0.25">
      <c r="B69" s="2" t="s">
        <v>41</v>
      </c>
      <c r="C69" s="20"/>
      <c r="D69" s="20">
        <f>D64</f>
        <v>23038.602935039999</v>
      </c>
      <c r="E69" s="20">
        <f t="shared" ref="E69:W69" si="17">E64</f>
        <v>23614.568008415998</v>
      </c>
      <c r="F69" s="20">
        <f t="shared" si="17"/>
        <v>24204.932208626393</v>
      </c>
      <c r="G69" s="20">
        <f t="shared" si="17"/>
        <v>24810.055513842053</v>
      </c>
      <c r="H69" s="20">
        <f t="shared" si="17"/>
        <v>25430.306901688105</v>
      </c>
      <c r="I69" s="20">
        <f t="shared" si="17"/>
        <v>26066.06457423031</v>
      </c>
      <c r="J69" s="20">
        <f t="shared" si="17"/>
        <v>26717.716188586055</v>
      </c>
      <c r="K69" s="20">
        <f t="shared" si="17"/>
        <v>27385.659093300703</v>
      </c>
      <c r="L69" s="20">
        <f t="shared" si="17"/>
        <v>28070.300570633226</v>
      </c>
      <c r="M69" s="20">
        <f t="shared" si="17"/>
        <v>28772.05808489905</v>
      </c>
      <c r="N69" s="20">
        <f t="shared" si="17"/>
        <v>29491.359537021526</v>
      </c>
      <c r="O69" s="20">
        <f t="shared" si="17"/>
        <v>30228.643525447056</v>
      </c>
      <c r="P69" s="20">
        <f t="shared" si="17"/>
        <v>30984.359613583227</v>
      </c>
      <c r="Q69" s="20">
        <f t="shared" si="17"/>
        <v>31758.968603922804</v>
      </c>
      <c r="R69" s="20">
        <f t="shared" si="17"/>
        <v>32552.942819020878</v>
      </c>
      <c r="S69" s="20">
        <f t="shared" si="17"/>
        <v>33366.766389496399</v>
      </c>
      <c r="T69" s="20">
        <f t="shared" si="17"/>
        <v>34200.935549233807</v>
      </c>
      <c r="U69" s="20">
        <f t="shared" si="17"/>
        <v>35055.95893796465</v>
      </c>
      <c r="V69" s="20">
        <f t="shared" si="17"/>
        <v>35932.357911413768</v>
      </c>
      <c r="W69" s="20">
        <f t="shared" si="17"/>
        <v>36830.666859199097</v>
      </c>
      <c r="X69" s="20">
        <f>X64</f>
        <v>37751.433530679074</v>
      </c>
      <c r="Y69" s="20">
        <f>Y64</f>
        <v>38695.219368946055</v>
      </c>
      <c r="Z69" s="20">
        <f>Z64</f>
        <v>39662.599853169697</v>
      </c>
      <c r="AA69" s="20">
        <f>AA64</f>
        <v>40654.164849498935</v>
      </c>
      <c r="AB69" s="20">
        <f>AB64</f>
        <v>41670.518970736404</v>
      </c>
    </row>
    <row r="70" spans="2:28" x14ac:dyDescent="0.25">
      <c r="B70" s="36" t="s">
        <v>128</v>
      </c>
      <c r="C70" s="20"/>
      <c r="D70" s="20">
        <f>D67</f>
        <v>0</v>
      </c>
      <c r="E70" s="20">
        <f t="shared" ref="E70:W70" si="18">E67</f>
        <v>0</v>
      </c>
      <c r="F70" s="20">
        <f t="shared" si="18"/>
        <v>0</v>
      </c>
      <c r="G70" s="20">
        <f t="shared" si="18"/>
        <v>0</v>
      </c>
      <c r="H70" s="20">
        <f t="shared" si="18"/>
        <v>0</v>
      </c>
      <c r="I70" s="20">
        <f t="shared" si="18"/>
        <v>0</v>
      </c>
      <c r="J70" s="20">
        <f t="shared" si="18"/>
        <v>-3383.5094532470735</v>
      </c>
      <c r="K70" s="20">
        <f t="shared" si="18"/>
        <v>-3622.7625828098362</v>
      </c>
      <c r="L70" s="20">
        <f t="shared" si="18"/>
        <v>-3873.2962531250964</v>
      </c>
      <c r="M70" s="20">
        <f t="shared" si="18"/>
        <v>-4137.1415530576569</v>
      </c>
      <c r="N70" s="20">
        <f t="shared" si="18"/>
        <v>-4412.8414957665454</v>
      </c>
      <c r="O70" s="20">
        <f t="shared" si="18"/>
        <v>-4702.974496828072</v>
      </c>
      <c r="P70" s="20">
        <f t="shared" si="18"/>
        <v>-5006.1312959966681</v>
      </c>
      <c r="Q70" s="20">
        <f t="shared" si="18"/>
        <v>-5324.9400162440143</v>
      </c>
      <c r="R70" s="20">
        <f t="shared" si="18"/>
        <v>-5658.0431665452788</v>
      </c>
      <c r="S70" s="20">
        <f t="shared" si="18"/>
        <v>-6156.0661847107585</v>
      </c>
      <c r="T70" s="20">
        <f t="shared" si="18"/>
        <v>-6670.2658325070915</v>
      </c>
      <c r="U70" s="20">
        <f t="shared" si="18"/>
        <v>-7053.9347140106693</v>
      </c>
      <c r="V70" s="20">
        <f t="shared" si="18"/>
        <v>-7455.781793611688</v>
      </c>
      <c r="W70" s="20">
        <f t="shared" si="18"/>
        <v>-7644.4266726466067</v>
      </c>
      <c r="X70" s="20">
        <f>X67</f>
        <v>-7909.4309663844033</v>
      </c>
      <c r="Y70" s="20">
        <f>Y67</f>
        <v>-8107.6259924204696</v>
      </c>
      <c r="Z70" s="20">
        <f>Z67</f>
        <v>-8310.7758941074335</v>
      </c>
      <c r="AA70" s="20">
        <f>AA67</f>
        <v>-8519.004543336574</v>
      </c>
      <c r="AB70" s="20">
        <f>AB67</f>
        <v>-8732.4389087964428</v>
      </c>
    </row>
    <row r="71" spans="2:28" x14ac:dyDescent="0.25">
      <c r="B71" s="37" t="s">
        <v>124</v>
      </c>
      <c r="C71" s="32"/>
      <c r="D71" s="32">
        <f>Debt!D38</f>
        <v>-17722.002257723074</v>
      </c>
      <c r="E71" s="32">
        <f>Debt!E38</f>
        <v>-18165.052314166151</v>
      </c>
      <c r="F71" s="32">
        <f>Debt!F38</f>
        <v>-18619.178622020303</v>
      </c>
      <c r="G71" s="32">
        <f>Debt!G38</f>
        <v>-19084.65808757081</v>
      </c>
      <c r="H71" s="32">
        <f>Debt!H38</f>
        <v>-19561.774539760081</v>
      </c>
      <c r="I71" s="32">
        <f>Debt!I38</f>
        <v>-20050.818903254083</v>
      </c>
      <c r="J71" s="32">
        <f>Debt!J38</f>
        <v>-20552.089375835425</v>
      </c>
      <c r="K71" s="32">
        <f>Debt!K38</f>
        <v>-21065.891610231309</v>
      </c>
      <c r="L71" s="32">
        <f>Debt!L38</f>
        <v>-21592.538900487096</v>
      </c>
      <c r="M71" s="32">
        <f>Debt!M38</f>
        <v>-22132.35237299927</v>
      </c>
      <c r="N71" s="32">
        <f>Debt!N38</f>
        <v>-22685.661182324249</v>
      </c>
      <c r="O71" s="32">
        <f>Debt!O38</f>
        <v>-23252.802711882348</v>
      </c>
      <c r="P71" s="32">
        <f>Debt!P38</f>
        <v>-23834.122779679405</v>
      </c>
      <c r="Q71" s="32">
        <f>Debt!Q38</f>
        <v>-24429.975849171387</v>
      </c>
      <c r="R71" s="32">
        <f>Debt!R38</f>
        <v>-25040.725245400674</v>
      </c>
      <c r="S71" s="32">
        <f>Debt!S38</f>
        <v>-25666.743376535691</v>
      </c>
      <c r="T71" s="32">
        <f>Debt!T38</f>
        <v>-26308.411960949081</v>
      </c>
      <c r="U71" s="32">
        <f>Debt!U38</f>
        <v>-26966.122259972806</v>
      </c>
      <c r="V71" s="32">
        <f>Debt!V38</f>
        <v>0</v>
      </c>
      <c r="W71" s="32">
        <f>Debt!W38</f>
        <v>0</v>
      </c>
      <c r="X71" s="32">
        <f>Debt!X38</f>
        <v>0</v>
      </c>
      <c r="Y71" s="32">
        <f>Debt!Y38</f>
        <v>0</v>
      </c>
      <c r="Z71" s="32">
        <f>Debt!Z38</f>
        <v>0</v>
      </c>
      <c r="AA71" s="32">
        <f>Debt!AA38</f>
        <v>0</v>
      </c>
      <c r="AB71" s="32">
        <f>Debt!AB38</f>
        <v>0</v>
      </c>
    </row>
    <row r="72" spans="2:28" x14ac:dyDescent="0.25">
      <c r="B72" s="2" t="s">
        <v>129</v>
      </c>
      <c r="D72" s="20">
        <f>SUM(D69:D71)</f>
        <v>5316.6006773169247</v>
      </c>
      <c r="E72" s="20">
        <f t="shared" ref="E72:W72" si="19">SUM(E69:E71)</f>
        <v>5449.515694249847</v>
      </c>
      <c r="F72" s="20">
        <f t="shared" si="19"/>
        <v>5585.7535866060898</v>
      </c>
      <c r="G72" s="20">
        <f t="shared" si="19"/>
        <v>5725.3974262712436</v>
      </c>
      <c r="H72" s="20">
        <f t="shared" si="19"/>
        <v>5868.5323619280243</v>
      </c>
      <c r="I72" s="20">
        <f t="shared" si="19"/>
        <v>6015.2456709762264</v>
      </c>
      <c r="J72" s="20">
        <f t="shared" si="19"/>
        <v>2782.117359503558</v>
      </c>
      <c r="K72" s="20">
        <f t="shared" si="19"/>
        <v>2697.0049002595588</v>
      </c>
      <c r="L72" s="20">
        <f t="shared" si="19"/>
        <v>2604.4654170210342</v>
      </c>
      <c r="M72" s="20">
        <f t="shared" si="19"/>
        <v>2502.564158842124</v>
      </c>
      <c r="N72" s="20">
        <f t="shared" si="19"/>
        <v>2392.8568589307324</v>
      </c>
      <c r="O72" s="20">
        <f t="shared" si="19"/>
        <v>2272.8663167366358</v>
      </c>
      <c r="P72" s="20">
        <f t="shared" si="19"/>
        <v>2144.1055379071549</v>
      </c>
      <c r="Q72" s="20">
        <f t="shared" si="19"/>
        <v>2004.052738507402</v>
      </c>
      <c r="R72" s="20">
        <f t="shared" si="19"/>
        <v>1854.1744070749264</v>
      </c>
      <c r="S72" s="20">
        <f t="shared" si="19"/>
        <v>1543.9568282499495</v>
      </c>
      <c r="T72" s="20">
        <f t="shared" si="19"/>
        <v>1222.2577557776349</v>
      </c>
      <c r="U72" s="20">
        <f t="shared" si="19"/>
        <v>1035.901963981174</v>
      </c>
      <c r="V72" s="20">
        <f t="shared" si="19"/>
        <v>28476.57611780208</v>
      </c>
      <c r="W72" s="20">
        <f t="shared" si="19"/>
        <v>29186.240186552488</v>
      </c>
      <c r="X72" s="20">
        <f>SUM(X69:X71)</f>
        <v>29842.002564294671</v>
      </c>
      <c r="Y72" s="20">
        <f>SUM(Y69:Y71)</f>
        <v>30587.593376525583</v>
      </c>
      <c r="Z72" s="20">
        <f>SUM(Z69:Z71)</f>
        <v>31351.823959062262</v>
      </c>
      <c r="AA72" s="20">
        <f>SUM(AA69:AA71)</f>
        <v>32135.160306162361</v>
      </c>
      <c r="AB72" s="20">
        <f>SUM(AB69:AB71)</f>
        <v>32938.08006193996</v>
      </c>
    </row>
    <row r="73" spans="2:28" x14ac:dyDescent="0.25"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2:28" x14ac:dyDescent="0.25">
      <c r="B74" s="2" t="s">
        <v>50</v>
      </c>
      <c r="C74" s="20">
        <f>-Assumptions!$L$8</f>
        <v>-46914.327398839581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2:28" x14ac:dyDescent="0.25">
      <c r="B75" s="2" t="s">
        <v>49</v>
      </c>
      <c r="C75" s="20">
        <f>C44</f>
        <v>0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2:28" x14ac:dyDescent="0.25">
      <c r="B76" s="2" t="s">
        <v>55</v>
      </c>
      <c r="C76" s="20">
        <f t="shared" ref="C76:W76" si="20">SUM(C72:C75)</f>
        <v>-46914.327398839581</v>
      </c>
      <c r="D76" s="20">
        <f t="shared" si="20"/>
        <v>5316.6006773169247</v>
      </c>
      <c r="E76" s="20">
        <f t="shared" si="20"/>
        <v>5449.515694249847</v>
      </c>
      <c r="F76" s="20">
        <f t="shared" si="20"/>
        <v>5585.7535866060898</v>
      </c>
      <c r="G76" s="20">
        <f t="shared" si="20"/>
        <v>5725.3974262712436</v>
      </c>
      <c r="H76" s="20">
        <f t="shared" si="20"/>
        <v>5868.5323619280243</v>
      </c>
      <c r="I76" s="20">
        <f t="shared" si="20"/>
        <v>6015.2456709762264</v>
      </c>
      <c r="J76" s="20">
        <f t="shared" si="20"/>
        <v>2782.117359503558</v>
      </c>
      <c r="K76" s="20">
        <f t="shared" si="20"/>
        <v>2697.0049002595588</v>
      </c>
      <c r="L76" s="20">
        <f t="shared" si="20"/>
        <v>2604.4654170210342</v>
      </c>
      <c r="M76" s="20">
        <f t="shared" si="20"/>
        <v>2502.564158842124</v>
      </c>
      <c r="N76" s="20">
        <f t="shared" si="20"/>
        <v>2392.8568589307324</v>
      </c>
      <c r="O76" s="20">
        <f t="shared" si="20"/>
        <v>2272.8663167366358</v>
      </c>
      <c r="P76" s="20">
        <f t="shared" si="20"/>
        <v>2144.1055379071549</v>
      </c>
      <c r="Q76" s="20">
        <f t="shared" si="20"/>
        <v>2004.052738507402</v>
      </c>
      <c r="R76" s="20">
        <f t="shared" si="20"/>
        <v>1854.1744070749264</v>
      </c>
      <c r="S76" s="20">
        <f t="shared" si="20"/>
        <v>1543.9568282499495</v>
      </c>
      <c r="T76" s="20">
        <f t="shared" si="20"/>
        <v>1222.2577557776349</v>
      </c>
      <c r="U76" s="20">
        <f t="shared" si="20"/>
        <v>1035.901963981174</v>
      </c>
      <c r="V76" s="20">
        <f t="shared" si="20"/>
        <v>28476.57611780208</v>
      </c>
      <c r="W76" s="20">
        <f t="shared" si="20"/>
        <v>29186.240186552488</v>
      </c>
      <c r="X76" s="20">
        <f>SUM(X72:X75)</f>
        <v>29842.002564294671</v>
      </c>
      <c r="Y76" s="20">
        <f>SUM(Y72:Y75)</f>
        <v>30587.593376525583</v>
      </c>
      <c r="Z76" s="20">
        <f>SUM(Z72:Z75)</f>
        <v>31351.823959062262</v>
      </c>
      <c r="AA76" s="20">
        <f>SUM(AA72:AA75)</f>
        <v>32135.160306162361</v>
      </c>
      <c r="AB76" s="20">
        <f>SUM(AB72:AB75)</f>
        <v>32938.08006193996</v>
      </c>
    </row>
    <row r="77" spans="2:28" ht="14.4" thickBot="1" x14ac:dyDescent="0.3"/>
    <row r="78" spans="2:28" ht="14.4" thickBot="1" x14ac:dyDescent="0.3">
      <c r="B78" s="29" t="s">
        <v>52</v>
      </c>
      <c r="C78" s="30">
        <f>IRR(C76:AB76)</f>
        <v>0.12282186272824003</v>
      </c>
    </row>
    <row r="80" spans="2:28" x14ac:dyDescent="0.25">
      <c r="B80" s="38" t="s">
        <v>76</v>
      </c>
      <c r="C80" s="39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</row>
    <row r="82" spans="2:28" ht="14.4" x14ac:dyDescent="0.3">
      <c r="B82" s="47" t="s">
        <v>121</v>
      </c>
    </row>
    <row r="83" spans="2:28" x14ac:dyDescent="0.25">
      <c r="B83" s="48" t="s">
        <v>77</v>
      </c>
      <c r="D83" s="20">
        <f>-SUM(D64:D66)*$D$7</f>
        <v>10682.122616681301</v>
      </c>
      <c r="E83" s="20">
        <f t="shared" ref="E83:W83" si="21">-SUM(E64:E66)*$D$7</f>
        <v>18466.803984907652</v>
      </c>
      <c r="F83" s="20">
        <f t="shared" si="21"/>
        <v>9978.3370994856195</v>
      </c>
      <c r="G83" s="20">
        <f t="shared" si="21"/>
        <v>4786.752488715063</v>
      </c>
      <c r="H83" s="20">
        <f t="shared" si="21"/>
        <v>4541.2815081960489</v>
      </c>
      <c r="I83" s="20">
        <f t="shared" si="21"/>
        <v>575.00455789666887</v>
      </c>
      <c r="J83" s="20">
        <f t="shared" si="21"/>
        <v>-3383.5094532470735</v>
      </c>
      <c r="K83" s="20">
        <f t="shared" si="21"/>
        <v>-3622.7625828098362</v>
      </c>
      <c r="L83" s="20">
        <f t="shared" si="21"/>
        <v>-3873.2962531250964</v>
      </c>
      <c r="M83" s="20">
        <f t="shared" si="21"/>
        <v>-4137.1415530576569</v>
      </c>
      <c r="N83" s="20">
        <f t="shared" si="21"/>
        <v>-4412.8414957665454</v>
      </c>
      <c r="O83" s="20">
        <f t="shared" si="21"/>
        <v>-4702.974496828072</v>
      </c>
      <c r="P83" s="20">
        <f t="shared" si="21"/>
        <v>-5006.1312959966681</v>
      </c>
      <c r="Q83" s="20">
        <f t="shared" si="21"/>
        <v>-5324.9400162440143</v>
      </c>
      <c r="R83" s="20">
        <f t="shared" si="21"/>
        <v>-5658.0431665452788</v>
      </c>
      <c r="S83" s="20">
        <f t="shared" si="21"/>
        <v>-6156.0661847107585</v>
      </c>
      <c r="T83" s="20">
        <f t="shared" si="21"/>
        <v>-6670.2658325070915</v>
      </c>
      <c r="U83" s="20">
        <f t="shared" si="21"/>
        <v>-7053.9347140106693</v>
      </c>
      <c r="V83" s="20">
        <f t="shared" si="21"/>
        <v>-7455.781793611688</v>
      </c>
      <c r="W83" s="20">
        <f t="shared" si="21"/>
        <v>-7644.4266726466067</v>
      </c>
      <c r="X83" s="20">
        <f>-SUM(X64:X66)*$D$7</f>
        <v>-7909.4309663844033</v>
      </c>
      <c r="Y83" s="20">
        <f>-SUM(Y64:Y66)*$D$7</f>
        <v>-8107.6259924204696</v>
      </c>
      <c r="Z83" s="20">
        <f>-SUM(Z64:Z66)*$D$7</f>
        <v>-8310.7758941074335</v>
      </c>
      <c r="AA83" s="20">
        <f>-SUM(AA64:AA66)*$D$7</f>
        <v>-8519.004543336574</v>
      </c>
      <c r="AB83" s="20">
        <f>-SUM(AB64:AB66)*$D$7</f>
        <v>-8732.4389087964428</v>
      </c>
    </row>
    <row r="84" spans="2:28" x14ac:dyDescent="0.25">
      <c r="B84" s="48" t="s">
        <v>78</v>
      </c>
      <c r="C84" s="2">
        <v>0</v>
      </c>
      <c r="D84" s="20">
        <f>MAX(C84+D83,0)</f>
        <v>10682.122616681301</v>
      </c>
      <c r="E84" s="20">
        <f t="shared" ref="E84:W84" si="22">MAX(D84+E83,0)</f>
        <v>29148.926601588952</v>
      </c>
      <c r="F84" s="20">
        <f t="shared" si="22"/>
        <v>39127.263701074568</v>
      </c>
      <c r="G84" s="20">
        <f t="shared" si="22"/>
        <v>43914.016189789632</v>
      </c>
      <c r="H84" s="20">
        <f t="shared" si="22"/>
        <v>48455.297697985683</v>
      </c>
      <c r="I84" s="20">
        <f t="shared" si="22"/>
        <v>49030.30225588235</v>
      </c>
      <c r="J84" s="20">
        <f t="shared" si="22"/>
        <v>45646.792802635275</v>
      </c>
      <c r="K84" s="20">
        <f t="shared" si="22"/>
        <v>42024.030219825436</v>
      </c>
      <c r="L84" s="20">
        <f t="shared" si="22"/>
        <v>38150.73396670034</v>
      </c>
      <c r="M84" s="20">
        <f t="shared" si="22"/>
        <v>34013.592413642684</v>
      </c>
      <c r="N84" s="20">
        <f t="shared" si="22"/>
        <v>29600.750917876139</v>
      </c>
      <c r="O84" s="20">
        <f t="shared" si="22"/>
        <v>24897.776421048067</v>
      </c>
      <c r="P84" s="20">
        <f t="shared" si="22"/>
        <v>19891.6451250514</v>
      </c>
      <c r="Q84" s="20">
        <f t="shared" si="22"/>
        <v>14566.705108807386</v>
      </c>
      <c r="R84" s="20">
        <f t="shared" si="22"/>
        <v>8908.6619422621079</v>
      </c>
      <c r="S84" s="20">
        <f t="shared" si="22"/>
        <v>2752.5957575513494</v>
      </c>
      <c r="T84" s="20">
        <f t="shared" si="22"/>
        <v>0</v>
      </c>
      <c r="U84" s="20">
        <f t="shared" si="22"/>
        <v>0</v>
      </c>
      <c r="V84" s="20">
        <f t="shared" si="22"/>
        <v>0</v>
      </c>
      <c r="W84" s="20">
        <f t="shared" si="22"/>
        <v>0</v>
      </c>
      <c r="X84" s="20">
        <f>MAX(W84+X83,0)</f>
        <v>0</v>
      </c>
      <c r="Y84" s="20">
        <f>MAX(X84+Y83,0)</f>
        <v>0</v>
      </c>
      <c r="Z84" s="20">
        <f>MAX(Y84+Z83,0)</f>
        <v>0</v>
      </c>
      <c r="AA84" s="20">
        <f>MAX(Z84+AA83,0)</f>
        <v>0</v>
      </c>
      <c r="AB84" s="20">
        <f>MAX(AA84+AB83,0)</f>
        <v>0</v>
      </c>
    </row>
    <row r="85" spans="2:28" x14ac:dyDescent="0.25">
      <c r="B85" s="52" t="s">
        <v>79</v>
      </c>
      <c r="C85" s="4"/>
      <c r="D85" s="31">
        <f>IF(D83&gt;0,0,MIN(D83+C84,0))</f>
        <v>0</v>
      </c>
      <c r="E85" s="31">
        <f t="shared" ref="E85:W85" si="23">IF(E83&gt;0,0,MIN(E83+D84,0))</f>
        <v>0</v>
      </c>
      <c r="F85" s="31">
        <f t="shared" si="23"/>
        <v>0</v>
      </c>
      <c r="G85" s="31">
        <f t="shared" si="23"/>
        <v>0</v>
      </c>
      <c r="H85" s="31">
        <f t="shared" si="23"/>
        <v>0</v>
      </c>
      <c r="I85" s="31">
        <f t="shared" si="23"/>
        <v>0</v>
      </c>
      <c r="J85" s="31">
        <f t="shared" si="23"/>
        <v>0</v>
      </c>
      <c r="K85" s="31">
        <f t="shared" si="23"/>
        <v>0</v>
      </c>
      <c r="L85" s="31">
        <f t="shared" si="23"/>
        <v>0</v>
      </c>
      <c r="M85" s="31">
        <f t="shared" si="23"/>
        <v>0</v>
      </c>
      <c r="N85" s="31">
        <f t="shared" si="23"/>
        <v>0</v>
      </c>
      <c r="O85" s="31">
        <f t="shared" si="23"/>
        <v>0</v>
      </c>
      <c r="P85" s="31">
        <f t="shared" si="23"/>
        <v>0</v>
      </c>
      <c r="Q85" s="31">
        <f t="shared" si="23"/>
        <v>0</v>
      </c>
      <c r="R85" s="31">
        <f t="shared" si="23"/>
        <v>0</v>
      </c>
      <c r="S85" s="31">
        <f t="shared" si="23"/>
        <v>0</v>
      </c>
      <c r="T85" s="31">
        <f t="shared" si="23"/>
        <v>-3917.6700749557422</v>
      </c>
      <c r="U85" s="31">
        <f t="shared" si="23"/>
        <v>-7053.9347140106693</v>
      </c>
      <c r="V85" s="31">
        <f t="shared" si="23"/>
        <v>-7455.781793611688</v>
      </c>
      <c r="W85" s="31">
        <f t="shared" si="23"/>
        <v>-7644.4266726466067</v>
      </c>
      <c r="X85" s="31">
        <f>IF(X83&gt;0,0,MIN(X83+W84,0))</f>
        <v>-7909.4309663844033</v>
      </c>
      <c r="Y85" s="31">
        <f>IF(Y83&gt;0,0,MIN(Y83+X84,0))</f>
        <v>-8107.6259924204696</v>
      </c>
      <c r="Z85" s="31">
        <f>IF(Z83&gt;0,0,MIN(Z83+Y84,0))</f>
        <v>-8310.7758941074335</v>
      </c>
      <c r="AA85" s="31">
        <f>IF(AA83&gt;0,0,MIN(AA83+Z84,0))</f>
        <v>-8519.004543336574</v>
      </c>
      <c r="AB85" s="31">
        <f>IF(AB83&gt;0,0,MIN(AB83+AA84,0))</f>
        <v>-8732.4389087964428</v>
      </c>
    </row>
    <row r="87" spans="2:28" x14ac:dyDescent="0.25">
      <c r="B87" s="2" t="s">
        <v>41</v>
      </c>
      <c r="D87" s="20">
        <f>D69</f>
        <v>23038.602935039999</v>
      </c>
      <c r="E87" s="20">
        <f t="shared" ref="E87:W87" si="24">E69</f>
        <v>23614.568008415998</v>
      </c>
      <c r="F87" s="20">
        <f t="shared" si="24"/>
        <v>24204.932208626393</v>
      </c>
      <c r="G87" s="20">
        <f t="shared" si="24"/>
        <v>24810.055513842053</v>
      </c>
      <c r="H87" s="20">
        <f t="shared" si="24"/>
        <v>25430.306901688105</v>
      </c>
      <c r="I87" s="20">
        <f t="shared" si="24"/>
        <v>26066.06457423031</v>
      </c>
      <c r="J87" s="20">
        <f t="shared" si="24"/>
        <v>26717.716188586055</v>
      </c>
      <c r="K87" s="20">
        <f t="shared" si="24"/>
        <v>27385.659093300703</v>
      </c>
      <c r="L87" s="20">
        <f t="shared" si="24"/>
        <v>28070.300570633226</v>
      </c>
      <c r="M87" s="20">
        <f t="shared" si="24"/>
        <v>28772.05808489905</v>
      </c>
      <c r="N87" s="20">
        <f t="shared" si="24"/>
        <v>29491.359537021526</v>
      </c>
      <c r="O87" s="20">
        <f t="shared" si="24"/>
        <v>30228.643525447056</v>
      </c>
      <c r="P87" s="20">
        <f t="shared" si="24"/>
        <v>30984.359613583227</v>
      </c>
      <c r="Q87" s="20">
        <f t="shared" si="24"/>
        <v>31758.968603922804</v>
      </c>
      <c r="R87" s="20">
        <f t="shared" si="24"/>
        <v>32552.942819020878</v>
      </c>
      <c r="S87" s="20">
        <f t="shared" si="24"/>
        <v>33366.766389496399</v>
      </c>
      <c r="T87" s="20">
        <f t="shared" si="24"/>
        <v>34200.935549233807</v>
      </c>
      <c r="U87" s="20">
        <f t="shared" si="24"/>
        <v>35055.95893796465</v>
      </c>
      <c r="V87" s="20">
        <f t="shared" si="24"/>
        <v>35932.357911413768</v>
      </c>
      <c r="W87" s="20">
        <f t="shared" si="24"/>
        <v>36830.666859199097</v>
      </c>
      <c r="X87" s="20">
        <f>X69</f>
        <v>37751.433530679074</v>
      </c>
      <c r="Y87" s="20">
        <f>Y69</f>
        <v>38695.219368946055</v>
      </c>
      <c r="Z87" s="20">
        <f>Z69</f>
        <v>39662.599853169697</v>
      </c>
      <c r="AA87" s="20">
        <f>AA69</f>
        <v>40654.164849498935</v>
      </c>
      <c r="AB87" s="20">
        <f>AB69</f>
        <v>41670.518970736404</v>
      </c>
    </row>
    <row r="88" spans="2:28" x14ac:dyDescent="0.25">
      <c r="B88" s="36" t="s">
        <v>128</v>
      </c>
      <c r="D88" s="20">
        <f>D85</f>
        <v>0</v>
      </c>
      <c r="E88" s="20">
        <f t="shared" ref="E88:W88" si="25">E85</f>
        <v>0</v>
      </c>
      <c r="F88" s="20">
        <f t="shared" si="25"/>
        <v>0</v>
      </c>
      <c r="G88" s="20">
        <f t="shared" si="25"/>
        <v>0</v>
      </c>
      <c r="H88" s="20">
        <f t="shared" si="25"/>
        <v>0</v>
      </c>
      <c r="I88" s="20">
        <f t="shared" si="25"/>
        <v>0</v>
      </c>
      <c r="J88" s="20">
        <f t="shared" si="25"/>
        <v>0</v>
      </c>
      <c r="K88" s="20">
        <f t="shared" si="25"/>
        <v>0</v>
      </c>
      <c r="L88" s="20">
        <f t="shared" si="25"/>
        <v>0</v>
      </c>
      <c r="M88" s="20">
        <f t="shared" si="25"/>
        <v>0</v>
      </c>
      <c r="N88" s="20">
        <f t="shared" si="25"/>
        <v>0</v>
      </c>
      <c r="O88" s="20">
        <f t="shared" si="25"/>
        <v>0</v>
      </c>
      <c r="P88" s="20">
        <f t="shared" si="25"/>
        <v>0</v>
      </c>
      <c r="Q88" s="20">
        <f t="shared" si="25"/>
        <v>0</v>
      </c>
      <c r="R88" s="20">
        <f t="shared" si="25"/>
        <v>0</v>
      </c>
      <c r="S88" s="20">
        <f t="shared" si="25"/>
        <v>0</v>
      </c>
      <c r="T88" s="20">
        <f t="shared" si="25"/>
        <v>-3917.6700749557422</v>
      </c>
      <c r="U88" s="20">
        <f t="shared" si="25"/>
        <v>-7053.9347140106693</v>
      </c>
      <c r="V88" s="20">
        <f t="shared" si="25"/>
        <v>-7455.781793611688</v>
      </c>
      <c r="W88" s="20">
        <f t="shared" si="25"/>
        <v>-7644.4266726466067</v>
      </c>
      <c r="X88" s="20">
        <f>X85</f>
        <v>-7909.4309663844033</v>
      </c>
      <c r="Y88" s="20">
        <f>Y85</f>
        <v>-8107.6259924204696</v>
      </c>
      <c r="Z88" s="20">
        <f>Z85</f>
        <v>-8310.7758941074335</v>
      </c>
      <c r="AA88" s="20">
        <f>AA85</f>
        <v>-8519.004543336574</v>
      </c>
      <c r="AB88" s="20">
        <f>AB85</f>
        <v>-8732.4389087964428</v>
      </c>
    </row>
    <row r="89" spans="2:28" x14ac:dyDescent="0.25">
      <c r="B89" s="36" t="s">
        <v>124</v>
      </c>
      <c r="D89" s="20">
        <f>D71</f>
        <v>-17722.002257723074</v>
      </c>
      <c r="E89" s="20">
        <f t="shared" ref="E89:W89" si="26">E71</f>
        <v>-18165.052314166151</v>
      </c>
      <c r="F89" s="20">
        <f t="shared" si="26"/>
        <v>-18619.178622020303</v>
      </c>
      <c r="G89" s="20">
        <f t="shared" si="26"/>
        <v>-19084.65808757081</v>
      </c>
      <c r="H89" s="20">
        <f t="shared" si="26"/>
        <v>-19561.774539760081</v>
      </c>
      <c r="I89" s="20">
        <f t="shared" si="26"/>
        <v>-20050.818903254083</v>
      </c>
      <c r="J89" s="20">
        <f t="shared" si="26"/>
        <v>-20552.089375835425</v>
      </c>
      <c r="K89" s="20">
        <f t="shared" si="26"/>
        <v>-21065.891610231309</v>
      </c>
      <c r="L89" s="20">
        <f t="shared" si="26"/>
        <v>-21592.538900487096</v>
      </c>
      <c r="M89" s="20">
        <f t="shared" si="26"/>
        <v>-22132.35237299927</v>
      </c>
      <c r="N89" s="20">
        <f t="shared" si="26"/>
        <v>-22685.661182324249</v>
      </c>
      <c r="O89" s="20">
        <f t="shared" si="26"/>
        <v>-23252.802711882348</v>
      </c>
      <c r="P89" s="20">
        <f t="shared" si="26"/>
        <v>-23834.122779679405</v>
      </c>
      <c r="Q89" s="20">
        <f t="shared" si="26"/>
        <v>-24429.975849171387</v>
      </c>
      <c r="R89" s="20">
        <f t="shared" si="26"/>
        <v>-25040.725245400674</v>
      </c>
      <c r="S89" s="20">
        <f t="shared" si="26"/>
        <v>-25666.743376535691</v>
      </c>
      <c r="T89" s="20">
        <f t="shared" si="26"/>
        <v>-26308.411960949081</v>
      </c>
      <c r="U89" s="20">
        <f t="shared" si="26"/>
        <v>-26966.122259972806</v>
      </c>
      <c r="V89" s="20">
        <f t="shared" si="26"/>
        <v>0</v>
      </c>
      <c r="W89" s="20">
        <f t="shared" si="26"/>
        <v>0</v>
      </c>
      <c r="X89" s="20">
        <f>X71</f>
        <v>0</v>
      </c>
      <c r="Y89" s="20">
        <f>Y71</f>
        <v>0</v>
      </c>
      <c r="Z89" s="20">
        <f>Z71</f>
        <v>0</v>
      </c>
      <c r="AA89" s="20">
        <f>AA71</f>
        <v>0</v>
      </c>
      <c r="AB89" s="20">
        <f>AB71</f>
        <v>0</v>
      </c>
    </row>
    <row r="90" spans="2:28" x14ac:dyDescent="0.25">
      <c r="B90" s="4" t="s">
        <v>129</v>
      </c>
      <c r="C90" s="4"/>
      <c r="D90" s="31">
        <f>SUM(D87:D89)</f>
        <v>5316.6006773169247</v>
      </c>
      <c r="E90" s="31">
        <f t="shared" ref="E90:W90" si="27">SUM(E87:E89)</f>
        <v>5449.515694249847</v>
      </c>
      <c r="F90" s="31">
        <f t="shared" si="27"/>
        <v>5585.7535866060898</v>
      </c>
      <c r="G90" s="31">
        <f t="shared" si="27"/>
        <v>5725.3974262712436</v>
      </c>
      <c r="H90" s="31">
        <f t="shared" si="27"/>
        <v>5868.5323619280243</v>
      </c>
      <c r="I90" s="31">
        <f t="shared" si="27"/>
        <v>6015.2456709762264</v>
      </c>
      <c r="J90" s="31">
        <f t="shared" si="27"/>
        <v>6165.6268127506301</v>
      </c>
      <c r="K90" s="31">
        <f t="shared" si="27"/>
        <v>6319.7674830693941</v>
      </c>
      <c r="L90" s="31">
        <f t="shared" si="27"/>
        <v>6477.7616701461302</v>
      </c>
      <c r="M90" s="31">
        <f t="shared" si="27"/>
        <v>6639.70571189978</v>
      </c>
      <c r="N90" s="31">
        <f t="shared" si="27"/>
        <v>6805.698354697277</v>
      </c>
      <c r="O90" s="31">
        <f t="shared" si="27"/>
        <v>6975.8408135647078</v>
      </c>
      <c r="P90" s="31">
        <f t="shared" si="27"/>
        <v>7150.2368339038221</v>
      </c>
      <c r="Q90" s="31">
        <f t="shared" si="27"/>
        <v>7328.9927547514162</v>
      </c>
      <c r="R90" s="31">
        <f t="shared" si="27"/>
        <v>7512.2175736202043</v>
      </c>
      <c r="S90" s="31">
        <f t="shared" si="27"/>
        <v>7700.023012960708</v>
      </c>
      <c r="T90" s="31">
        <f t="shared" si="27"/>
        <v>3974.8535133289843</v>
      </c>
      <c r="U90" s="31">
        <f t="shared" si="27"/>
        <v>1035.901963981174</v>
      </c>
      <c r="V90" s="31">
        <f t="shared" si="27"/>
        <v>28476.57611780208</v>
      </c>
      <c r="W90" s="31">
        <f t="shared" si="27"/>
        <v>29186.240186552488</v>
      </c>
      <c r="X90" s="31">
        <f>SUM(X87:X89)</f>
        <v>29842.002564294671</v>
      </c>
      <c r="Y90" s="31">
        <f>SUM(Y87:Y89)</f>
        <v>30587.593376525583</v>
      </c>
      <c r="Z90" s="31">
        <f>SUM(Z87:Z89)</f>
        <v>31351.823959062262</v>
      </c>
      <c r="AA90" s="31">
        <f>SUM(AA87:AA89)</f>
        <v>32135.160306162361</v>
      </c>
      <c r="AB90" s="31">
        <f>SUM(AB87:AB89)</f>
        <v>32938.08006193996</v>
      </c>
    </row>
    <row r="92" spans="2:28" x14ac:dyDescent="0.25">
      <c r="B92" s="2" t="s">
        <v>50</v>
      </c>
      <c r="C92" s="20">
        <f>C74</f>
        <v>-46914.327398839581</v>
      </c>
    </row>
    <row r="93" spans="2:28" x14ac:dyDescent="0.25">
      <c r="B93" s="2" t="s">
        <v>49</v>
      </c>
      <c r="C93" s="2">
        <v>0</v>
      </c>
    </row>
    <row r="94" spans="2:28" x14ac:dyDescent="0.25">
      <c r="B94" s="2" t="s">
        <v>55</v>
      </c>
      <c r="C94" s="20">
        <f>SUM(C90:C93)</f>
        <v>-46914.327398839581</v>
      </c>
      <c r="D94" s="20">
        <f t="shared" ref="D94:W94" si="28">SUM(D90:D93)</f>
        <v>5316.6006773169247</v>
      </c>
      <c r="E94" s="20">
        <f t="shared" si="28"/>
        <v>5449.515694249847</v>
      </c>
      <c r="F94" s="20">
        <f t="shared" si="28"/>
        <v>5585.7535866060898</v>
      </c>
      <c r="G94" s="20">
        <f t="shared" si="28"/>
        <v>5725.3974262712436</v>
      </c>
      <c r="H94" s="20">
        <f t="shared" si="28"/>
        <v>5868.5323619280243</v>
      </c>
      <c r="I94" s="20">
        <f t="shared" si="28"/>
        <v>6015.2456709762264</v>
      </c>
      <c r="J94" s="20">
        <f t="shared" si="28"/>
        <v>6165.6268127506301</v>
      </c>
      <c r="K94" s="20">
        <f t="shared" si="28"/>
        <v>6319.7674830693941</v>
      </c>
      <c r="L94" s="20">
        <f t="shared" si="28"/>
        <v>6477.7616701461302</v>
      </c>
      <c r="M94" s="20">
        <f t="shared" si="28"/>
        <v>6639.70571189978</v>
      </c>
      <c r="N94" s="20">
        <f t="shared" si="28"/>
        <v>6805.698354697277</v>
      </c>
      <c r="O94" s="20">
        <f t="shared" si="28"/>
        <v>6975.8408135647078</v>
      </c>
      <c r="P94" s="20">
        <f t="shared" si="28"/>
        <v>7150.2368339038221</v>
      </c>
      <c r="Q94" s="20">
        <f t="shared" si="28"/>
        <v>7328.9927547514162</v>
      </c>
      <c r="R94" s="20">
        <f t="shared" si="28"/>
        <v>7512.2175736202043</v>
      </c>
      <c r="S94" s="20">
        <f t="shared" si="28"/>
        <v>7700.023012960708</v>
      </c>
      <c r="T94" s="20">
        <f t="shared" si="28"/>
        <v>3974.8535133289843</v>
      </c>
      <c r="U94" s="20">
        <f t="shared" si="28"/>
        <v>1035.901963981174</v>
      </c>
      <c r="V94" s="20">
        <f t="shared" si="28"/>
        <v>28476.57611780208</v>
      </c>
      <c r="W94" s="20">
        <f t="shared" si="28"/>
        <v>29186.240186552488</v>
      </c>
      <c r="X94" s="20">
        <f>SUM(X90:X93)</f>
        <v>29842.002564294671</v>
      </c>
      <c r="Y94" s="20">
        <f>SUM(Y90:Y93)</f>
        <v>30587.593376525583</v>
      </c>
      <c r="Z94" s="20">
        <f>SUM(Z90:Z93)</f>
        <v>31351.823959062262</v>
      </c>
      <c r="AA94" s="20">
        <f>SUM(AA90:AA93)</f>
        <v>32135.160306162361</v>
      </c>
      <c r="AB94" s="20">
        <f>SUM(AB90:AB93)</f>
        <v>32938.08006193996</v>
      </c>
    </row>
    <row r="95" spans="2:28" ht="14.4" thickBot="1" x14ac:dyDescent="0.3"/>
    <row r="96" spans="2:28" ht="14.4" thickBot="1" x14ac:dyDescent="0.3">
      <c r="B96" s="29" t="s">
        <v>52</v>
      </c>
      <c r="C96" s="30">
        <f>IRR(C94:AB94)</f>
        <v>0.14870238786881029</v>
      </c>
    </row>
    <row r="98" spans="1:28" x14ac:dyDescent="0.25">
      <c r="B98" s="38" t="s">
        <v>80</v>
      </c>
      <c r="C98" s="39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</row>
    <row r="99" spans="1:28" x14ac:dyDescent="0.25">
      <c r="B99" s="2" t="s">
        <v>41</v>
      </c>
      <c r="D99" s="20">
        <f t="shared" ref="D99:W99" si="29">D52</f>
        <v>23038.602935039999</v>
      </c>
      <c r="E99" s="20">
        <f t="shared" si="29"/>
        <v>23614.568008415998</v>
      </c>
      <c r="F99" s="20">
        <f t="shared" si="29"/>
        <v>24204.932208626393</v>
      </c>
      <c r="G99" s="20">
        <f t="shared" si="29"/>
        <v>24810.055513842053</v>
      </c>
      <c r="H99" s="20">
        <f t="shared" si="29"/>
        <v>25430.306901688105</v>
      </c>
      <c r="I99" s="20">
        <f t="shared" si="29"/>
        <v>26066.06457423031</v>
      </c>
      <c r="J99" s="20">
        <f t="shared" si="29"/>
        <v>26717.716188586055</v>
      </c>
      <c r="K99" s="20">
        <f t="shared" si="29"/>
        <v>27385.659093300703</v>
      </c>
      <c r="L99" s="20">
        <f t="shared" si="29"/>
        <v>28070.300570633226</v>
      </c>
      <c r="M99" s="20">
        <f t="shared" si="29"/>
        <v>28772.05808489905</v>
      </c>
      <c r="N99" s="20">
        <f t="shared" si="29"/>
        <v>29491.359537021526</v>
      </c>
      <c r="O99" s="20">
        <f t="shared" si="29"/>
        <v>30228.643525447056</v>
      </c>
      <c r="P99" s="20">
        <f t="shared" si="29"/>
        <v>30984.359613583227</v>
      </c>
      <c r="Q99" s="20">
        <f t="shared" si="29"/>
        <v>31758.968603922804</v>
      </c>
      <c r="R99" s="20">
        <f t="shared" si="29"/>
        <v>32552.942819020878</v>
      </c>
      <c r="S99" s="20">
        <f t="shared" si="29"/>
        <v>33366.766389496399</v>
      </c>
      <c r="T99" s="20">
        <f t="shared" si="29"/>
        <v>34200.935549233807</v>
      </c>
      <c r="U99" s="20">
        <f t="shared" si="29"/>
        <v>35055.95893796465</v>
      </c>
      <c r="V99" s="20">
        <f t="shared" si="29"/>
        <v>35932.357911413768</v>
      </c>
      <c r="W99" s="20">
        <f t="shared" si="29"/>
        <v>36830.666859199097</v>
      </c>
      <c r="X99" s="20">
        <f>X52</f>
        <v>37751.433530679074</v>
      </c>
      <c r="Y99" s="20">
        <f>Y52</f>
        <v>38695.219368946055</v>
      </c>
      <c r="Z99" s="20">
        <f>Z52</f>
        <v>39662.599853169697</v>
      </c>
      <c r="AA99" s="20">
        <f>AA52</f>
        <v>40654.164849498935</v>
      </c>
      <c r="AB99" s="20">
        <f>AB52</f>
        <v>41670.518970736404</v>
      </c>
    </row>
    <row r="100" spans="1:28" x14ac:dyDescent="0.25">
      <c r="B100" s="53" t="s">
        <v>120</v>
      </c>
      <c r="D100" s="20">
        <f>-$D$7*SUM(D64:D66)</f>
        <v>10682.122616681301</v>
      </c>
      <c r="E100" s="20">
        <f t="shared" ref="E100:W100" si="30">-$D$7*SUM(E64:E66)</f>
        <v>18466.803984907652</v>
      </c>
      <c r="F100" s="20">
        <f t="shared" si="30"/>
        <v>9978.3370994856195</v>
      </c>
      <c r="G100" s="20">
        <f t="shared" si="30"/>
        <v>4786.752488715063</v>
      </c>
      <c r="H100" s="20">
        <f t="shared" si="30"/>
        <v>4541.2815081960489</v>
      </c>
      <c r="I100" s="20">
        <f t="shared" si="30"/>
        <v>575.00455789666887</v>
      </c>
      <c r="J100" s="20">
        <f t="shared" si="30"/>
        <v>-3383.5094532470735</v>
      </c>
      <c r="K100" s="20">
        <f t="shared" si="30"/>
        <v>-3622.7625828098362</v>
      </c>
      <c r="L100" s="20">
        <f t="shared" si="30"/>
        <v>-3873.2962531250964</v>
      </c>
      <c r="M100" s="20">
        <f t="shared" si="30"/>
        <v>-4137.1415530576569</v>
      </c>
      <c r="N100" s="20">
        <f t="shared" si="30"/>
        <v>-4412.8414957665454</v>
      </c>
      <c r="O100" s="20">
        <f t="shared" si="30"/>
        <v>-4702.974496828072</v>
      </c>
      <c r="P100" s="20">
        <f t="shared" si="30"/>
        <v>-5006.1312959966681</v>
      </c>
      <c r="Q100" s="20">
        <f t="shared" si="30"/>
        <v>-5324.9400162440143</v>
      </c>
      <c r="R100" s="20">
        <f t="shared" si="30"/>
        <v>-5658.0431665452788</v>
      </c>
      <c r="S100" s="20">
        <f t="shared" si="30"/>
        <v>-6156.0661847107585</v>
      </c>
      <c r="T100" s="20">
        <f t="shared" si="30"/>
        <v>-6670.2658325070915</v>
      </c>
      <c r="U100" s="20">
        <f t="shared" si="30"/>
        <v>-7053.9347140106693</v>
      </c>
      <c r="V100" s="20">
        <f t="shared" si="30"/>
        <v>-7455.781793611688</v>
      </c>
      <c r="W100" s="20">
        <f t="shared" si="30"/>
        <v>-7644.4266726466067</v>
      </c>
      <c r="X100" s="20">
        <f>-$D$7*SUM(X64:X66)</f>
        <v>-7909.4309663844033</v>
      </c>
      <c r="Y100" s="20">
        <f>-$D$7*SUM(Y64:Y66)</f>
        <v>-8107.6259924204696</v>
      </c>
      <c r="Z100" s="20">
        <f>-$D$7*SUM(Z64:Z66)</f>
        <v>-8310.7758941074335</v>
      </c>
      <c r="AA100" s="20">
        <f>-$D$7*SUM(AA64:AA66)</f>
        <v>-8519.004543336574</v>
      </c>
      <c r="AB100" s="20">
        <f>-$D$7*SUM(AB64:AB66)</f>
        <v>-8732.4389087964428</v>
      </c>
    </row>
    <row r="101" spans="1:28" x14ac:dyDescent="0.25">
      <c r="B101" s="36" t="s">
        <v>64</v>
      </c>
      <c r="D101" s="20">
        <f>D53</f>
        <v>-17722.002257723074</v>
      </c>
      <c r="E101" s="20">
        <f t="shared" ref="E101:W101" si="31">E53</f>
        <v>-18165.052314166151</v>
      </c>
      <c r="F101" s="20">
        <f t="shared" si="31"/>
        <v>-18619.178622020303</v>
      </c>
      <c r="G101" s="20">
        <f t="shared" si="31"/>
        <v>-19084.65808757081</v>
      </c>
      <c r="H101" s="20">
        <f t="shared" si="31"/>
        <v>-19561.774539760081</v>
      </c>
      <c r="I101" s="20">
        <f t="shared" si="31"/>
        <v>-20050.818903254083</v>
      </c>
      <c r="J101" s="20">
        <f t="shared" si="31"/>
        <v>-20552.089375835425</v>
      </c>
      <c r="K101" s="20">
        <f t="shared" si="31"/>
        <v>-21065.891610231309</v>
      </c>
      <c r="L101" s="20">
        <f t="shared" si="31"/>
        <v>-21592.538900487096</v>
      </c>
      <c r="M101" s="20">
        <f t="shared" si="31"/>
        <v>-22132.35237299927</v>
      </c>
      <c r="N101" s="20">
        <f t="shared" si="31"/>
        <v>-22685.661182324249</v>
      </c>
      <c r="O101" s="20">
        <f t="shared" si="31"/>
        <v>-23252.802711882348</v>
      </c>
      <c r="P101" s="20">
        <f t="shared" si="31"/>
        <v>-23834.122779679405</v>
      </c>
      <c r="Q101" s="20">
        <f t="shared" si="31"/>
        <v>-24429.975849171387</v>
      </c>
      <c r="R101" s="20">
        <f t="shared" si="31"/>
        <v>-25040.725245400674</v>
      </c>
      <c r="S101" s="20">
        <f t="shared" si="31"/>
        <v>-25666.743376535691</v>
      </c>
      <c r="T101" s="20">
        <f t="shared" si="31"/>
        <v>-26308.411960949081</v>
      </c>
      <c r="U101" s="20">
        <f t="shared" si="31"/>
        <v>-26966.122259972806</v>
      </c>
      <c r="V101" s="20">
        <f t="shared" si="31"/>
        <v>0</v>
      </c>
      <c r="W101" s="20">
        <f t="shared" si="31"/>
        <v>0</v>
      </c>
      <c r="X101" s="20">
        <f>X53</f>
        <v>0</v>
      </c>
      <c r="Y101" s="20">
        <f>Y53</f>
        <v>0</v>
      </c>
      <c r="Z101" s="20">
        <f>Z53</f>
        <v>0</v>
      </c>
      <c r="AA101" s="20">
        <f>AA53</f>
        <v>0</v>
      </c>
      <c r="AB101" s="20">
        <f>AB53</f>
        <v>0</v>
      </c>
    </row>
    <row r="102" spans="1:28" x14ac:dyDescent="0.25">
      <c r="B102" s="4" t="s">
        <v>129</v>
      </c>
      <c r="C102" s="4"/>
      <c r="D102" s="31">
        <f>SUM(D99:D101)</f>
        <v>15998.723293998224</v>
      </c>
      <c r="E102" s="31">
        <f t="shared" ref="E102:W102" si="32">SUM(E99:E101)</f>
        <v>23916.319679157499</v>
      </c>
      <c r="F102" s="31">
        <f t="shared" si="32"/>
        <v>15564.090686091706</v>
      </c>
      <c r="G102" s="31">
        <f t="shared" si="32"/>
        <v>10512.149914986308</v>
      </c>
      <c r="H102" s="31">
        <f t="shared" si="32"/>
        <v>10409.813870124075</v>
      </c>
      <c r="I102" s="31">
        <f t="shared" si="32"/>
        <v>6590.2502288728938</v>
      </c>
      <c r="J102" s="31">
        <f t="shared" si="32"/>
        <v>2782.117359503558</v>
      </c>
      <c r="K102" s="31">
        <f t="shared" si="32"/>
        <v>2697.0049002595588</v>
      </c>
      <c r="L102" s="31">
        <f t="shared" si="32"/>
        <v>2604.4654170210342</v>
      </c>
      <c r="M102" s="31">
        <f t="shared" si="32"/>
        <v>2502.564158842124</v>
      </c>
      <c r="N102" s="31">
        <f t="shared" si="32"/>
        <v>2392.8568589307324</v>
      </c>
      <c r="O102" s="31">
        <f t="shared" si="32"/>
        <v>2272.8663167366358</v>
      </c>
      <c r="P102" s="31">
        <f t="shared" si="32"/>
        <v>2144.1055379071549</v>
      </c>
      <c r="Q102" s="31">
        <f t="shared" si="32"/>
        <v>2004.052738507402</v>
      </c>
      <c r="R102" s="31">
        <f t="shared" si="32"/>
        <v>1854.1744070749264</v>
      </c>
      <c r="S102" s="31">
        <f t="shared" si="32"/>
        <v>1543.9568282499495</v>
      </c>
      <c r="T102" s="31">
        <f t="shared" si="32"/>
        <v>1222.2577557776349</v>
      </c>
      <c r="U102" s="31">
        <f t="shared" si="32"/>
        <v>1035.901963981174</v>
      </c>
      <c r="V102" s="31">
        <f t="shared" si="32"/>
        <v>28476.57611780208</v>
      </c>
      <c r="W102" s="31">
        <f t="shared" si="32"/>
        <v>29186.240186552488</v>
      </c>
      <c r="X102" s="31">
        <f>SUM(X99:X101)</f>
        <v>29842.002564294671</v>
      </c>
      <c r="Y102" s="31">
        <f>SUM(Y99:Y101)</f>
        <v>30587.593376525583</v>
      </c>
      <c r="Z102" s="31">
        <f>SUM(Z99:Z101)</f>
        <v>31351.823959062262</v>
      </c>
      <c r="AA102" s="31">
        <f>SUM(AA99:AA101)</f>
        <v>32135.160306162361</v>
      </c>
      <c r="AB102" s="31">
        <f>SUM(AB99:AB101)</f>
        <v>32938.08006193996</v>
      </c>
    </row>
    <row r="103" spans="1:28" x14ac:dyDescent="0.25">
      <c r="B103" s="10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</row>
    <row r="104" spans="1:28" x14ac:dyDescent="0.25">
      <c r="B104" s="10" t="s">
        <v>50</v>
      </c>
      <c r="C104" s="20">
        <f>C92</f>
        <v>-46914.327398839581</v>
      </c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x14ac:dyDescent="0.25">
      <c r="B105" s="10" t="s">
        <v>49</v>
      </c>
      <c r="C105" s="20">
        <v>0</v>
      </c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x14ac:dyDescent="0.25">
      <c r="B106" s="10" t="s">
        <v>55</v>
      </c>
      <c r="C106" s="20">
        <f>SUM(C102:C105)</f>
        <v>-46914.327398839581</v>
      </c>
      <c r="D106" s="20">
        <f t="shared" ref="D106:W106" si="33">SUM(D102:D105)</f>
        <v>15998.723293998224</v>
      </c>
      <c r="E106" s="20">
        <f t="shared" si="33"/>
        <v>23916.319679157499</v>
      </c>
      <c r="F106" s="20">
        <f t="shared" si="33"/>
        <v>15564.090686091706</v>
      </c>
      <c r="G106" s="20">
        <f t="shared" si="33"/>
        <v>10512.149914986308</v>
      </c>
      <c r="H106" s="20">
        <f t="shared" si="33"/>
        <v>10409.813870124075</v>
      </c>
      <c r="I106" s="20">
        <f t="shared" si="33"/>
        <v>6590.2502288728938</v>
      </c>
      <c r="J106" s="20">
        <f t="shared" si="33"/>
        <v>2782.117359503558</v>
      </c>
      <c r="K106" s="20">
        <f t="shared" si="33"/>
        <v>2697.0049002595588</v>
      </c>
      <c r="L106" s="20">
        <f t="shared" si="33"/>
        <v>2604.4654170210342</v>
      </c>
      <c r="M106" s="20">
        <f t="shared" si="33"/>
        <v>2502.564158842124</v>
      </c>
      <c r="N106" s="20">
        <f t="shared" si="33"/>
        <v>2392.8568589307324</v>
      </c>
      <c r="O106" s="20">
        <f t="shared" si="33"/>
        <v>2272.8663167366358</v>
      </c>
      <c r="P106" s="20">
        <f t="shared" si="33"/>
        <v>2144.1055379071549</v>
      </c>
      <c r="Q106" s="20">
        <f t="shared" si="33"/>
        <v>2004.052738507402</v>
      </c>
      <c r="R106" s="20">
        <f t="shared" si="33"/>
        <v>1854.1744070749264</v>
      </c>
      <c r="S106" s="20">
        <f t="shared" si="33"/>
        <v>1543.9568282499495</v>
      </c>
      <c r="T106" s="20">
        <f t="shared" si="33"/>
        <v>1222.2577557776349</v>
      </c>
      <c r="U106" s="20">
        <f t="shared" si="33"/>
        <v>1035.901963981174</v>
      </c>
      <c r="V106" s="20">
        <f t="shared" si="33"/>
        <v>28476.57611780208</v>
      </c>
      <c r="W106" s="20">
        <f t="shared" si="33"/>
        <v>29186.240186552488</v>
      </c>
      <c r="X106" s="20">
        <f>SUM(X102:X105)</f>
        <v>29842.002564294671</v>
      </c>
      <c r="Y106" s="20">
        <f>SUM(Y102:Y105)</f>
        <v>30587.593376525583</v>
      </c>
      <c r="Z106" s="20">
        <f>SUM(Z102:Z105)</f>
        <v>31351.823959062262</v>
      </c>
      <c r="AA106" s="20">
        <f>SUM(AA102:AA105)</f>
        <v>32135.160306162361</v>
      </c>
      <c r="AB106" s="20">
        <f>SUM(AB102:AB105)</f>
        <v>32938.08006193996</v>
      </c>
    </row>
    <row r="107" spans="1:28" ht="14.4" thickBot="1" x14ac:dyDescent="0.3"/>
    <row r="108" spans="1:28" ht="14.4" thickBot="1" x14ac:dyDescent="0.3">
      <c r="B108" s="29" t="s">
        <v>52</v>
      </c>
      <c r="C108" s="30">
        <f>IRR(C106:AB106)</f>
        <v>0.27112434111145478</v>
      </c>
    </row>
    <row r="110" spans="1:28" x14ac:dyDescent="0.25">
      <c r="A110" s="35"/>
      <c r="B110" s="35" t="s">
        <v>186</v>
      </c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</row>
    <row r="111" spans="1:28" s="76" customFormat="1" x14ac:dyDescent="0.25">
      <c r="A111" s="77"/>
      <c r="B111" s="77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</row>
    <row r="112" spans="1:28" x14ac:dyDescent="0.25">
      <c r="B112" s="15" t="s">
        <v>172</v>
      </c>
    </row>
    <row r="113" spans="2:28" x14ac:dyDescent="0.25">
      <c r="B113" s="36" t="s">
        <v>151</v>
      </c>
      <c r="D113" s="83">
        <f>'Tax Equity and Partnership'!D51</f>
        <v>0.8</v>
      </c>
      <c r="E113" s="83">
        <f>'Tax Equity and Partnership'!E51</f>
        <v>0.8</v>
      </c>
      <c r="F113" s="83">
        <f>'Tax Equity and Partnership'!F51</f>
        <v>0.8</v>
      </c>
      <c r="G113" s="83">
        <f>'Tax Equity and Partnership'!G51</f>
        <v>0.8</v>
      </c>
      <c r="H113" s="83">
        <f>'Tax Equity and Partnership'!H51</f>
        <v>0.8</v>
      </c>
      <c r="I113" s="83">
        <f>'Tax Equity and Partnership'!I51</f>
        <v>0.8</v>
      </c>
      <c r="J113" s="83">
        <f>'Tax Equity and Partnership'!J51</f>
        <v>0.8</v>
      </c>
      <c r="K113" s="83">
        <f>'Tax Equity and Partnership'!K51</f>
        <v>0.8</v>
      </c>
      <c r="L113" s="83">
        <f>'Tax Equity and Partnership'!L51</f>
        <v>0.8</v>
      </c>
      <c r="M113" s="83">
        <f>'Tax Equity and Partnership'!M51</f>
        <v>0.8</v>
      </c>
      <c r="N113" s="83">
        <f>'Tax Equity and Partnership'!N51</f>
        <v>0.95</v>
      </c>
      <c r="O113" s="83">
        <f>'Tax Equity and Partnership'!O51</f>
        <v>0.95</v>
      </c>
      <c r="P113" s="83">
        <f>'Tax Equity and Partnership'!P51</f>
        <v>0.95</v>
      </c>
      <c r="Q113" s="83">
        <f>'Tax Equity and Partnership'!Q51</f>
        <v>0.95</v>
      </c>
      <c r="R113" s="83">
        <f>'Tax Equity and Partnership'!R51</f>
        <v>0.95</v>
      </c>
      <c r="S113" s="83">
        <f>'Tax Equity and Partnership'!S51</f>
        <v>0.95</v>
      </c>
      <c r="T113" s="83">
        <f>'Tax Equity and Partnership'!T51</f>
        <v>0.95</v>
      </c>
      <c r="U113" s="83">
        <f>'Tax Equity and Partnership'!U51</f>
        <v>0.95</v>
      </c>
      <c r="V113" s="83">
        <f>'Tax Equity and Partnership'!V51</f>
        <v>0.95</v>
      </c>
      <c r="W113" s="83">
        <f>'Tax Equity and Partnership'!W51</f>
        <v>0.95</v>
      </c>
      <c r="X113" s="83">
        <f>'Tax Equity and Partnership'!X51</f>
        <v>0.95</v>
      </c>
      <c r="Y113" s="83">
        <f>'Tax Equity and Partnership'!Y51</f>
        <v>0.95</v>
      </c>
      <c r="Z113" s="83">
        <f>'Tax Equity and Partnership'!Z51</f>
        <v>0.95</v>
      </c>
      <c r="AA113" s="83">
        <f>'Tax Equity and Partnership'!AA51</f>
        <v>0.95</v>
      </c>
      <c r="AB113" s="83">
        <f>'Tax Equity and Partnership'!AB51</f>
        <v>0.95</v>
      </c>
    </row>
    <row r="114" spans="2:28" x14ac:dyDescent="0.25">
      <c r="B114" s="36" t="s">
        <v>150</v>
      </c>
      <c r="D114" s="83">
        <f>'Tax Equity and Partnership'!D50</f>
        <v>0.2</v>
      </c>
      <c r="E114" s="83">
        <f>'Tax Equity and Partnership'!E50</f>
        <v>0.2</v>
      </c>
      <c r="F114" s="83">
        <f>'Tax Equity and Partnership'!F50</f>
        <v>0.2</v>
      </c>
      <c r="G114" s="83">
        <f>'Tax Equity and Partnership'!G50</f>
        <v>0.2</v>
      </c>
      <c r="H114" s="83">
        <f>'Tax Equity and Partnership'!H50</f>
        <v>0.2</v>
      </c>
      <c r="I114" s="83">
        <f>'Tax Equity and Partnership'!I50</f>
        <v>0.2</v>
      </c>
      <c r="J114" s="83">
        <f>'Tax Equity and Partnership'!J50</f>
        <v>0.2</v>
      </c>
      <c r="K114" s="83">
        <f>'Tax Equity and Partnership'!K50</f>
        <v>0.2</v>
      </c>
      <c r="L114" s="83">
        <f>'Tax Equity and Partnership'!L50</f>
        <v>0.2</v>
      </c>
      <c r="M114" s="83">
        <f>'Tax Equity and Partnership'!M50</f>
        <v>0.2</v>
      </c>
      <c r="N114" s="83">
        <f>'Tax Equity and Partnership'!N50</f>
        <v>0.05</v>
      </c>
      <c r="O114" s="83">
        <f>'Tax Equity and Partnership'!O50</f>
        <v>0.05</v>
      </c>
      <c r="P114" s="83">
        <f>'Tax Equity and Partnership'!P50</f>
        <v>0.05</v>
      </c>
      <c r="Q114" s="83">
        <f>'Tax Equity and Partnership'!Q50</f>
        <v>0.05</v>
      </c>
      <c r="R114" s="83">
        <f>'Tax Equity and Partnership'!R50</f>
        <v>0.05</v>
      </c>
      <c r="S114" s="83">
        <f>'Tax Equity and Partnership'!S50</f>
        <v>0.05</v>
      </c>
      <c r="T114" s="83">
        <f>'Tax Equity and Partnership'!T50</f>
        <v>0.05</v>
      </c>
      <c r="U114" s="83">
        <f>'Tax Equity and Partnership'!U50</f>
        <v>0.05</v>
      </c>
      <c r="V114" s="83">
        <f>'Tax Equity and Partnership'!V50</f>
        <v>0.05</v>
      </c>
      <c r="W114" s="83">
        <f>'Tax Equity and Partnership'!W50</f>
        <v>0.05</v>
      </c>
      <c r="X114" s="83">
        <f>'Tax Equity and Partnership'!X50</f>
        <v>0.05</v>
      </c>
      <c r="Y114" s="83">
        <f>'Tax Equity and Partnership'!Y50</f>
        <v>0.05</v>
      </c>
      <c r="Z114" s="83">
        <f>'Tax Equity and Partnership'!Z50</f>
        <v>0.05</v>
      </c>
      <c r="AA114" s="83">
        <f>'Tax Equity and Partnership'!AA50</f>
        <v>0.05</v>
      </c>
      <c r="AB114" s="83">
        <f>'Tax Equity and Partnership'!AB50</f>
        <v>0.05</v>
      </c>
    </row>
    <row r="116" spans="2:28" x14ac:dyDescent="0.25">
      <c r="B116" s="15" t="s">
        <v>173</v>
      </c>
      <c r="D116" s="20">
        <f>'Tax Equity and Partnership'!D38</f>
        <v>23038.602935039999</v>
      </c>
      <c r="E116" s="20">
        <f>'Tax Equity and Partnership'!E38</f>
        <v>23614.568008415998</v>
      </c>
      <c r="F116" s="20">
        <f>'Tax Equity and Partnership'!F38</f>
        <v>24204.932208626393</v>
      </c>
      <c r="G116" s="20">
        <f>'Tax Equity and Partnership'!G38</f>
        <v>24810.055513842053</v>
      </c>
      <c r="H116" s="20">
        <f>'Tax Equity and Partnership'!H38</f>
        <v>25430.306901688105</v>
      </c>
      <c r="I116" s="20">
        <f>'Tax Equity and Partnership'!I38</f>
        <v>26066.06457423031</v>
      </c>
      <c r="J116" s="20">
        <f>'Tax Equity and Partnership'!J38</f>
        <v>26717.716188586055</v>
      </c>
      <c r="K116" s="20">
        <f>'Tax Equity and Partnership'!K38</f>
        <v>27385.659093300703</v>
      </c>
      <c r="L116" s="20">
        <f>'Tax Equity and Partnership'!L38</f>
        <v>28070.300570633226</v>
      </c>
      <c r="M116" s="20">
        <f>'Tax Equity and Partnership'!M38</f>
        <v>28772.05808489905</v>
      </c>
      <c r="N116" s="20">
        <f>'Tax Equity and Partnership'!N38</f>
        <v>29491.359537021526</v>
      </c>
      <c r="O116" s="20">
        <f>'Tax Equity and Partnership'!O38</f>
        <v>30228.643525447056</v>
      </c>
      <c r="P116" s="20">
        <f>'Tax Equity and Partnership'!P38</f>
        <v>30984.359613583227</v>
      </c>
      <c r="Q116" s="20">
        <f>'Tax Equity and Partnership'!Q38</f>
        <v>31758.968603922804</v>
      </c>
      <c r="R116" s="20">
        <f>'Tax Equity and Partnership'!R38</f>
        <v>32552.942819020878</v>
      </c>
      <c r="S116" s="20">
        <f>'Tax Equity and Partnership'!S38</f>
        <v>33366.766389496399</v>
      </c>
      <c r="T116" s="20">
        <f>'Tax Equity and Partnership'!T38</f>
        <v>34200.935549233807</v>
      </c>
      <c r="U116" s="20">
        <f>'Tax Equity and Partnership'!U38</f>
        <v>35055.95893796465</v>
      </c>
      <c r="V116" s="20">
        <f>'Tax Equity and Partnership'!V38</f>
        <v>35932.357911413768</v>
      </c>
      <c r="W116" s="20">
        <f>'Tax Equity and Partnership'!W38</f>
        <v>36830.666859199097</v>
      </c>
      <c r="X116" s="20">
        <f>'Tax Equity and Partnership'!X38</f>
        <v>37751.433530679074</v>
      </c>
      <c r="Y116" s="20">
        <f>'Tax Equity and Partnership'!Y38</f>
        <v>38695.219368946055</v>
      </c>
      <c r="Z116" s="20">
        <f>'Tax Equity and Partnership'!Z38</f>
        <v>39662.599853169697</v>
      </c>
      <c r="AA116" s="20">
        <f>'Tax Equity and Partnership'!AA38</f>
        <v>40654.164849498935</v>
      </c>
      <c r="AB116" s="20">
        <f>'Tax Equity and Partnership'!AB38</f>
        <v>41670.518970736404</v>
      </c>
    </row>
    <row r="117" spans="2:28" x14ac:dyDescent="0.25">
      <c r="B117" s="36" t="s">
        <v>174</v>
      </c>
      <c r="D117" s="20">
        <f t="shared" ref="D117:W117" si="34">D$116*D113</f>
        <v>18430.882348031999</v>
      </c>
      <c r="E117" s="20">
        <f t="shared" si="34"/>
        <v>18891.6544067328</v>
      </c>
      <c r="F117" s="20">
        <f t="shared" si="34"/>
        <v>19363.945766901114</v>
      </c>
      <c r="G117" s="20">
        <f t="shared" si="34"/>
        <v>19848.044411073643</v>
      </c>
      <c r="H117" s="20">
        <f t="shared" si="34"/>
        <v>20344.245521350487</v>
      </c>
      <c r="I117" s="20">
        <f t="shared" si="34"/>
        <v>20852.851659384251</v>
      </c>
      <c r="J117" s="20">
        <f t="shared" si="34"/>
        <v>21374.172950868844</v>
      </c>
      <c r="K117" s="20">
        <f t="shared" si="34"/>
        <v>21908.527274640564</v>
      </c>
      <c r="L117" s="20">
        <f t="shared" si="34"/>
        <v>22456.240456506581</v>
      </c>
      <c r="M117" s="20">
        <f t="shared" si="34"/>
        <v>23017.646467919243</v>
      </c>
      <c r="N117" s="20">
        <f t="shared" si="34"/>
        <v>28016.791560170448</v>
      </c>
      <c r="O117" s="20">
        <f t="shared" si="34"/>
        <v>28717.2113491747</v>
      </c>
      <c r="P117" s="20">
        <f t="shared" si="34"/>
        <v>29435.141632904066</v>
      </c>
      <c r="Q117" s="20">
        <f t="shared" si="34"/>
        <v>30171.020173726662</v>
      </c>
      <c r="R117" s="20">
        <f t="shared" si="34"/>
        <v>30925.295678069833</v>
      </c>
      <c r="S117" s="20">
        <f t="shared" si="34"/>
        <v>31698.428070021579</v>
      </c>
      <c r="T117" s="20">
        <f t="shared" si="34"/>
        <v>32490.888771772115</v>
      </c>
      <c r="U117" s="20">
        <f t="shared" si="34"/>
        <v>33303.160991066412</v>
      </c>
      <c r="V117" s="20">
        <f t="shared" si="34"/>
        <v>34135.740015843076</v>
      </c>
      <c r="W117" s="20">
        <f t="shared" si="34"/>
        <v>34989.133516239141</v>
      </c>
      <c r="X117" s="20">
        <f t="shared" ref="X117:AA118" si="35">X$116*X113</f>
        <v>35863.861854145121</v>
      </c>
      <c r="Y117" s="20">
        <f t="shared" si="35"/>
        <v>36760.458400498748</v>
      </c>
      <c r="Z117" s="20">
        <f t="shared" si="35"/>
        <v>37679.469860511213</v>
      </c>
      <c r="AA117" s="20">
        <f t="shared" si="35"/>
        <v>38621.456607023989</v>
      </c>
      <c r="AB117" s="20">
        <f t="shared" ref="AB117" si="36">AB$116*AB113</f>
        <v>39586.993022199582</v>
      </c>
    </row>
    <row r="118" spans="2:28" x14ac:dyDescent="0.25">
      <c r="B118" s="36" t="s">
        <v>175</v>
      </c>
      <c r="D118" s="20">
        <f t="shared" ref="D118:W118" si="37">D$116*D114</f>
        <v>4607.7205870079997</v>
      </c>
      <c r="E118" s="20">
        <f t="shared" si="37"/>
        <v>4722.9136016831999</v>
      </c>
      <c r="F118" s="20">
        <f t="shared" si="37"/>
        <v>4840.9864417252784</v>
      </c>
      <c r="G118" s="20">
        <f t="shared" si="37"/>
        <v>4962.0111027684106</v>
      </c>
      <c r="H118" s="20">
        <f t="shared" si="37"/>
        <v>5086.0613803376218</v>
      </c>
      <c r="I118" s="20">
        <f t="shared" si="37"/>
        <v>5213.2129148460626</v>
      </c>
      <c r="J118" s="20">
        <f t="shared" si="37"/>
        <v>5343.543237717211</v>
      </c>
      <c r="K118" s="20">
        <f t="shared" si="37"/>
        <v>5477.1318186601411</v>
      </c>
      <c r="L118" s="20">
        <f t="shared" si="37"/>
        <v>5614.0601141266452</v>
      </c>
      <c r="M118" s="20">
        <f t="shared" si="37"/>
        <v>5754.4116169798108</v>
      </c>
      <c r="N118" s="20">
        <f t="shared" si="37"/>
        <v>1474.5679768510763</v>
      </c>
      <c r="O118" s="20">
        <f t="shared" si="37"/>
        <v>1511.432176272353</v>
      </c>
      <c r="P118" s="20">
        <f t="shared" si="37"/>
        <v>1549.2179806791614</v>
      </c>
      <c r="Q118" s="20">
        <f t="shared" si="37"/>
        <v>1587.9484301961402</v>
      </c>
      <c r="R118" s="20">
        <f t="shared" si="37"/>
        <v>1627.6471409510441</v>
      </c>
      <c r="S118" s="20">
        <f t="shared" si="37"/>
        <v>1668.3383194748201</v>
      </c>
      <c r="T118" s="20">
        <f t="shared" si="37"/>
        <v>1710.0467774616905</v>
      </c>
      <c r="U118" s="20">
        <f t="shared" si="37"/>
        <v>1752.7979468982326</v>
      </c>
      <c r="V118" s="20">
        <f t="shared" si="37"/>
        <v>1796.6178955706885</v>
      </c>
      <c r="W118" s="20">
        <f t="shared" si="37"/>
        <v>1841.533342959955</v>
      </c>
      <c r="X118" s="20">
        <f t="shared" si="35"/>
        <v>1887.5716765339539</v>
      </c>
      <c r="Y118" s="20">
        <f t="shared" si="35"/>
        <v>1934.7609684473027</v>
      </c>
      <c r="Z118" s="20">
        <f t="shared" si="35"/>
        <v>1983.129992658485</v>
      </c>
      <c r="AA118" s="20">
        <f t="shared" si="35"/>
        <v>2032.7082424749469</v>
      </c>
      <c r="AB118" s="20">
        <f t="shared" ref="AB118" si="38">AB$116*AB114</f>
        <v>2083.5259485368201</v>
      </c>
    </row>
    <row r="120" spans="2:28" x14ac:dyDescent="0.25">
      <c r="B120" s="15" t="s">
        <v>185</v>
      </c>
    </row>
    <row r="121" spans="2:28" x14ac:dyDescent="0.25">
      <c r="B121" s="36" t="s">
        <v>151</v>
      </c>
      <c r="C121" s="146">
        <f>-Depreciation!D12*Depreciation!C7</f>
        <v>-169589.75469837029</v>
      </c>
      <c r="D121" s="20">
        <f>D117+'Tax Equity and Partnership'!D227</f>
        <v>17680.730322991443</v>
      </c>
      <c r="E121" s="20">
        <f>E117+'Tax Equity and Partnership'!E227</f>
        <v>17638.047565539357</v>
      </c>
      <c r="F121" s="20">
        <f>F117+'Tax Equity and Partnership'!F227</f>
        <v>18638.859845172716</v>
      </c>
      <c r="G121" s="20">
        <f>G117+'Tax Equity and Partnership'!G227</f>
        <v>19446.397657435893</v>
      </c>
      <c r="H121" s="20">
        <f>H117+'Tax Equity and Partnership'!H227</f>
        <v>19943.760668304109</v>
      </c>
      <c r="I121" s="20">
        <f>I117+'Tax Equity and Partnership'!I227</f>
        <v>20696.253535440552</v>
      </c>
      <c r="J121" s="20">
        <f>J117+'Tax Equity and Partnership'!J227</f>
        <v>21460.243972844612</v>
      </c>
      <c r="K121" s="20">
        <f>K117+'Tax Equity and Partnership'!K227</f>
        <v>21993.195616516434</v>
      </c>
      <c r="L121" s="20">
        <f>L117+'Tax Equity and Partnership'!L227</f>
        <v>22545.396406355041</v>
      </c>
      <c r="M121" s="20">
        <f>M117+'Tax Equity and Partnership'!M227</f>
        <v>23105.360732552756</v>
      </c>
      <c r="N121" s="20">
        <f>N117+'Tax Equity and Partnership'!N227</f>
        <v>22498.906318123889</v>
      </c>
      <c r="O121" s="20">
        <f>O117+'Tax Equity and Partnership'!O227</f>
        <v>23051.763393267658</v>
      </c>
      <c r="P121" s="20">
        <f>P117+'Tax Equity and Partnership'!P227</f>
        <v>23619.402875583448</v>
      </c>
      <c r="Q121" s="20">
        <f>Q117+'Tax Equity and Partnership'!Q227</f>
        <v>24200.27236466371</v>
      </c>
      <c r="R121" s="20">
        <f>R117+'Tax Equity and Partnership'!R227</f>
        <v>24796.624571264401</v>
      </c>
      <c r="S121" s="20">
        <f>S117+'Tax Equity and Partnership'!S227</f>
        <v>25266.929942707935</v>
      </c>
      <c r="T121" s="20">
        <f>T117+'Tax Equity and Partnership'!T227</f>
        <v>25752.9792370621</v>
      </c>
      <c r="U121" s="20">
        <f>U117+'Tax Equity and Partnership'!U227</f>
        <v>26394.674290304596</v>
      </c>
      <c r="V121" s="20">
        <f>V117+'Tax Equity and Partnership'!V227</f>
        <v>27052.411719878161</v>
      </c>
      <c r="W121" s="20">
        <f>W117+'Tax Equity and Partnership'!W227</f>
        <v>27726.592585191051</v>
      </c>
      <c r="X121" s="20">
        <f>X117+'Tax Equity and Partnership'!X227</f>
        <v>28349.833947909778</v>
      </c>
      <c r="Y121" s="20">
        <f>Y117+'Tax Equity and Partnership'!Y227</f>
        <v>29058.145219529139</v>
      </c>
      <c r="Z121" s="20">
        <f>Z117+'Tax Equity and Partnership'!Z227</f>
        <v>29784.16427293899</v>
      </c>
      <c r="AA121" s="20">
        <f>AA117+'Tax Equity and Partnership'!AA227</f>
        <v>30528.333802684079</v>
      </c>
      <c r="AB121" s="20">
        <f>AB117+'Tax Equity and Partnership'!AB227</f>
        <v>31291.107570672797</v>
      </c>
    </row>
    <row r="122" spans="2:28" x14ac:dyDescent="0.25">
      <c r="B122" s="36" t="s">
        <v>150</v>
      </c>
      <c r="C122" s="20">
        <f>-'Tax Equity and Partnership'!C63</f>
        <v>-171568.78209687411</v>
      </c>
      <c r="D122" s="20">
        <f>D118+'Tax Equity and Partnership'!D221</f>
        <v>28053.989114880107</v>
      </c>
      <c r="E122" s="20">
        <f>E118+'Tax Equity and Partnership'!E221</f>
        <v>37110.572330905437</v>
      </c>
      <c r="F122" s="20">
        <f>F118+'Tax Equity and Partnership'!F221</f>
        <v>25704.087141227039</v>
      </c>
      <c r="G122" s="20">
        <f>G118+'Tax Equity and Partnership'!G221</f>
        <v>20296.257390128412</v>
      </c>
      <c r="H122" s="20">
        <f>H118+'Tax Equity and Partnership'!H221</f>
        <v>20420.307667697623</v>
      </c>
      <c r="I122" s="20">
        <f>I118+'Tax Equity and Partnership'!I221</f>
        <v>20097.249268536805</v>
      </c>
      <c r="J122" s="20">
        <f>J118+'Tax Equity and Partnership'!J221</f>
        <v>20735.202851876595</v>
      </c>
      <c r="K122" s="20">
        <f>K118+'Tax Equity and Partnership'!K221</f>
        <v>20840.737830821508</v>
      </c>
      <c r="L122" s="20">
        <f>L118+'Tax Equity and Partnership'!L221</f>
        <v>18040.422333727514</v>
      </c>
      <c r="M122" s="20">
        <f>M118+'Tax Equity and Partnership'!M221</f>
        <v>17286.811177265223</v>
      </c>
      <c r="N122" s="20">
        <f>N118+'Tax Equity and Partnership'!N221</f>
        <v>1188.5583718292391</v>
      </c>
      <c r="O122" s="20">
        <f>O118+'Tax Equity and Partnership'!O221</f>
        <v>1217.7318287601274</v>
      </c>
      <c r="P122" s="20">
        <f>P118+'Tax Equity and Partnership'!P221</f>
        <v>1247.6886398614654</v>
      </c>
      <c r="Q122" s="20">
        <f>Q118+'Tax Equity and Partnership'!Q221</f>
        <v>1278.3403534931588</v>
      </c>
      <c r="R122" s="20">
        <f>R118+'Tax Equity and Partnership'!R221</f>
        <v>1309.8123777128235</v>
      </c>
      <c r="S122" s="20">
        <f>S118+'Tax Equity and Partnership'!S221</f>
        <v>1334.1479327328259</v>
      </c>
      <c r="T122" s="20">
        <f>T118+'Tax Equity and Partnership'!T221</f>
        <v>1359.315950246252</v>
      </c>
      <c r="U122" s="20">
        <f>U118+'Tax Equity and Partnership'!U221</f>
        <v>1393.1791515569369</v>
      </c>
      <c r="V122" s="20">
        <f>V118+'Tax Equity and Partnership'!V221</f>
        <v>1427.8889329003885</v>
      </c>
      <c r="W122" s="20">
        <f>W118+'Tax Equity and Partnership'!W221</f>
        <v>1463.466458777428</v>
      </c>
      <c r="X122" s="20">
        <f>X118+'Tax Equity and Partnership'!X221</f>
        <v>1496.1226469863925</v>
      </c>
      <c r="Y122" s="20">
        <f>Y118+'Tax Equity and Partnership'!Y221</f>
        <v>1533.5012851109552</v>
      </c>
      <c r="Z122" s="20">
        <f>Z118+'Tax Equity and Partnership'!Z221</f>
        <v>1571.8143891886334</v>
      </c>
      <c r="AA122" s="20">
        <f>AA118+'Tax Equity and Partnership'!AA221</f>
        <v>1611.0853208682522</v>
      </c>
      <c r="AB122" s="20">
        <f>AB118+'Tax Equity and Partnership'!AB221</f>
        <v>1646.9724912671647</v>
      </c>
    </row>
    <row r="123" spans="2:28" ht="14.4" thickBot="1" x14ac:dyDescent="0.3"/>
    <row r="124" spans="2:28" x14ac:dyDescent="0.25">
      <c r="B124" s="135" t="s">
        <v>213</v>
      </c>
      <c r="C124" s="136"/>
      <c r="D124" s="137"/>
    </row>
    <row r="125" spans="2:28" x14ac:dyDescent="0.25">
      <c r="B125" s="138" t="s">
        <v>188</v>
      </c>
      <c r="C125" s="139"/>
      <c r="D125" s="140">
        <f>IRR(C121:AB121)</f>
        <v>0.11810768025717655</v>
      </c>
    </row>
    <row r="126" spans="2:28" ht="14.4" thickBot="1" x14ac:dyDescent="0.3">
      <c r="B126" s="141" t="s">
        <v>189</v>
      </c>
      <c r="C126" s="142"/>
      <c r="D126" s="143">
        <f>IRR(C122:AB122)</f>
        <v>7.1851665345977089E-2</v>
      </c>
    </row>
  </sheetData>
  <dataValidations count="1">
    <dataValidation type="list" allowBlank="1" showInputMessage="1" showErrorMessage="1" sqref="D5">
      <formula1>$F$4:$F$8</formula1>
    </dataValidation>
  </dataValidations>
  <pageMargins left="0.7" right="0.7" top="0.75" bottom="0.75" header="0.3" footer="0.3"/>
  <pageSetup orientation="portrait" r:id="rId1"/>
  <ignoredErrors>
    <ignoredError sqref="D88:W8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2"/>
  <sheetViews>
    <sheetView showGridLines="0" tabSelected="1" zoomScale="85" zoomScaleNormal="85" workbookViewId="0">
      <selection activeCell="C72" sqref="C72"/>
    </sheetView>
  </sheetViews>
  <sheetFormatPr defaultColWidth="9.109375" defaultRowHeight="13.8" x14ac:dyDescent="0.25"/>
  <cols>
    <col min="1" max="1" width="2.6640625" style="2" customWidth="1"/>
    <col min="2" max="2" width="45.33203125" style="2" customWidth="1"/>
    <col min="3" max="3" width="12.109375" style="2" bestFit="1" customWidth="1"/>
    <col min="4" max="28" width="11.44140625" style="2" bestFit="1" customWidth="1"/>
    <col min="29" max="16384" width="9.109375" style="2"/>
  </cols>
  <sheetData>
    <row r="1" spans="1:15" ht="16.8" x14ac:dyDescent="0.3">
      <c r="A1" s="66" t="s">
        <v>0</v>
      </c>
    </row>
    <row r="2" spans="1:15" x14ac:dyDescent="0.25">
      <c r="A2" s="2" t="s">
        <v>190</v>
      </c>
    </row>
    <row r="3" spans="1:15" ht="15.6" x14ac:dyDescent="0.4">
      <c r="A3" s="1"/>
      <c r="F3" s="57" t="s">
        <v>133</v>
      </c>
      <c r="G3" s="58" t="s">
        <v>132</v>
      </c>
      <c r="H3" s="59" t="s">
        <v>134</v>
      </c>
      <c r="K3" s="80"/>
      <c r="L3" s="160" t="s">
        <v>90</v>
      </c>
      <c r="M3" s="160"/>
      <c r="N3" s="160" t="s">
        <v>91</v>
      </c>
      <c r="O3" s="160"/>
    </row>
    <row r="4" spans="1:15" x14ac:dyDescent="0.25">
      <c r="B4" s="3" t="s">
        <v>5</v>
      </c>
      <c r="C4" s="4"/>
      <c r="D4" s="5">
        <f>Assumptions!C9</f>
        <v>202.39999999999998</v>
      </c>
      <c r="F4" s="60" t="str">
        <f>Assumptions!G7</f>
        <v>P50</v>
      </c>
      <c r="G4" s="61">
        <f>Assumptions!H7</f>
        <v>0.33600000000000002</v>
      </c>
      <c r="H4" s="62">
        <f>8760*G4*$D$4</f>
        <v>595736.06400000001</v>
      </c>
      <c r="K4" s="81" t="s">
        <v>92</v>
      </c>
      <c r="L4" s="82">
        <v>0.2</v>
      </c>
      <c r="M4" s="82">
        <v>0.05</v>
      </c>
      <c r="N4" s="82">
        <v>0.99</v>
      </c>
      <c r="O4" s="82">
        <v>0.05</v>
      </c>
    </row>
    <row r="5" spans="1:15" x14ac:dyDescent="0.25">
      <c r="B5" s="9" t="s">
        <v>61</v>
      </c>
      <c r="C5" s="10"/>
      <c r="D5" s="103" t="s">
        <v>56</v>
      </c>
      <c r="F5" s="60" t="str">
        <f>Assumptions!G8</f>
        <v>P75</v>
      </c>
      <c r="G5" s="61">
        <f>Assumptions!H8</f>
        <v>0.32200000000000001</v>
      </c>
      <c r="H5" s="62">
        <f>8760*G5*$D$4</f>
        <v>570913.728</v>
      </c>
      <c r="K5" s="81" t="s">
        <v>93</v>
      </c>
      <c r="L5" s="82">
        <f>1-L4</f>
        <v>0.8</v>
      </c>
      <c r="M5" s="82">
        <f>1-M4</f>
        <v>0.95</v>
      </c>
      <c r="N5" s="82">
        <f>1-N4</f>
        <v>1.0000000000000009E-2</v>
      </c>
      <c r="O5" s="82">
        <f>1-O4</f>
        <v>0.95</v>
      </c>
    </row>
    <row r="6" spans="1:15" x14ac:dyDescent="0.25">
      <c r="B6" s="9" t="s">
        <v>40</v>
      </c>
      <c r="C6" s="10"/>
      <c r="D6" s="11">
        <v>2.5000000000000001E-2</v>
      </c>
      <c r="F6" s="60" t="str">
        <f>Assumptions!G9</f>
        <v>P90</v>
      </c>
      <c r="G6" s="61">
        <f>Assumptions!H9</f>
        <v>0.30399999999999999</v>
      </c>
      <c r="H6" s="62">
        <f>8760*G6*$D$4</f>
        <v>538999.29599999997</v>
      </c>
    </row>
    <row r="7" spans="1:15" x14ac:dyDescent="0.25">
      <c r="B7" s="12" t="s">
        <v>48</v>
      </c>
      <c r="C7" s="13"/>
      <c r="D7" s="14">
        <v>0.21</v>
      </c>
      <c r="F7" s="60" t="str">
        <f>Assumptions!G10</f>
        <v>P95</v>
      </c>
      <c r="G7" s="61">
        <f>Assumptions!H10</f>
        <v>0.28599999999999998</v>
      </c>
      <c r="H7" s="62">
        <f>8760*G7*$D$4</f>
        <v>507084.86399999988</v>
      </c>
      <c r="K7" s="80"/>
      <c r="L7" s="118" t="s">
        <v>214</v>
      </c>
      <c r="M7" s="118"/>
      <c r="N7" s="118"/>
    </row>
    <row r="8" spans="1:15" x14ac:dyDescent="0.25">
      <c r="F8" s="63" t="str">
        <f>Assumptions!G11</f>
        <v>P99</v>
      </c>
      <c r="G8" s="64">
        <f>Assumptions!H11</f>
        <v>0.27300000000000002</v>
      </c>
      <c r="H8" s="65">
        <f>8760*G8*$D$4</f>
        <v>484035.55199999997</v>
      </c>
      <c r="K8" s="81" t="s">
        <v>92</v>
      </c>
      <c r="L8" s="2" t="s">
        <v>244</v>
      </c>
      <c r="N8" s="83">
        <f>MAX($L$4:$O$4)</f>
        <v>0.99</v>
      </c>
    </row>
    <row r="9" spans="1:15" x14ac:dyDescent="0.25">
      <c r="B9" s="2" t="s">
        <v>86</v>
      </c>
      <c r="D9" s="2">
        <v>10</v>
      </c>
      <c r="F9" s="6"/>
      <c r="G9" s="7"/>
      <c r="H9" s="8"/>
      <c r="K9" s="81" t="s">
        <v>92</v>
      </c>
      <c r="L9" s="2" t="s">
        <v>243</v>
      </c>
      <c r="N9" s="83">
        <f>MIN($L$4:$O$4)*N8</f>
        <v>4.9500000000000002E-2</v>
      </c>
    </row>
    <row r="10" spans="1:15" x14ac:dyDescent="0.25">
      <c r="B10" s="2" t="s">
        <v>206</v>
      </c>
      <c r="D10" s="83">
        <v>0.02</v>
      </c>
      <c r="F10" s="6"/>
      <c r="G10" s="7"/>
      <c r="H10" s="8"/>
      <c r="K10" s="81" t="s">
        <v>93</v>
      </c>
      <c r="L10" s="2" t="s">
        <v>210</v>
      </c>
      <c r="N10" s="83">
        <f>1-N9</f>
        <v>0.95050000000000001</v>
      </c>
    </row>
    <row r="11" spans="1:15" x14ac:dyDescent="0.25">
      <c r="B11" s="2" t="s">
        <v>82</v>
      </c>
      <c r="D11" s="20">
        <v>24</v>
      </c>
      <c r="F11" s="6"/>
      <c r="G11" s="7"/>
      <c r="H11" s="8"/>
    </row>
    <row r="12" spans="1:15" x14ac:dyDescent="0.25">
      <c r="B12" s="2" t="s">
        <v>102</v>
      </c>
      <c r="D12" s="84">
        <v>6.5000000000000002E-2</v>
      </c>
      <c r="F12" s="6"/>
      <c r="G12" s="7"/>
      <c r="H12" s="8"/>
      <c r="K12" s="80"/>
      <c r="L12" s="118" t="s">
        <v>215</v>
      </c>
      <c r="M12" s="118"/>
      <c r="N12" s="118"/>
      <c r="O12" s="118"/>
    </row>
    <row r="13" spans="1:15" x14ac:dyDescent="0.25">
      <c r="B13" s="2" t="s">
        <v>103</v>
      </c>
      <c r="D13" s="84">
        <f>'Cash Flows'!D126</f>
        <v>7.1851665345977089E-2</v>
      </c>
      <c r="F13" s="6"/>
      <c r="G13" s="7"/>
      <c r="H13" s="8"/>
      <c r="K13" s="81" t="s">
        <v>92</v>
      </c>
      <c r="L13" s="2" t="s">
        <v>216</v>
      </c>
      <c r="N13" s="83">
        <v>0.34971397049447939</v>
      </c>
      <c r="O13" s="20">
        <f>N13*$C$100</f>
        <v>60000</v>
      </c>
    </row>
    <row r="14" spans="1:15" x14ac:dyDescent="0.25">
      <c r="B14" s="2" t="s">
        <v>109</v>
      </c>
      <c r="D14" s="70">
        <f>Assumptions!H26</f>
        <v>10</v>
      </c>
      <c r="F14" s="6"/>
      <c r="G14" s="7"/>
      <c r="H14" s="8"/>
      <c r="K14" s="81" t="s">
        <v>93</v>
      </c>
      <c r="L14" s="2" t="s">
        <v>216</v>
      </c>
      <c r="N14" s="83">
        <v>0.15382389442178854</v>
      </c>
      <c r="O14" s="20">
        <f>N14*$C$127</f>
        <v>29999.999999999996</v>
      </c>
    </row>
    <row r="15" spans="1:15" ht="14.4" x14ac:dyDescent="0.3">
      <c r="B15" s="2" t="s">
        <v>105</v>
      </c>
      <c r="D15" s="74">
        <f>Assumptions!H27</f>
        <v>1.5</v>
      </c>
      <c r="E15" s="90" t="s">
        <v>143</v>
      </c>
      <c r="F15" s="6"/>
      <c r="G15" s="7"/>
      <c r="H15" s="8"/>
    </row>
    <row r="16" spans="1:15" x14ac:dyDescent="0.25">
      <c r="F16" s="6"/>
      <c r="G16" s="7"/>
      <c r="H16" s="8"/>
    </row>
    <row r="17" spans="1:28" x14ac:dyDescent="0.25">
      <c r="A17" s="35"/>
      <c r="B17" s="35" t="s">
        <v>142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9" spans="1:28" x14ac:dyDescent="0.25">
      <c r="B19" s="33" t="s">
        <v>116</v>
      </c>
      <c r="C19" s="121"/>
      <c r="D19" s="121">
        <v>1</v>
      </c>
      <c r="E19" s="121">
        <f t="shared" ref="E19:W19" si="0">D19+1</f>
        <v>2</v>
      </c>
      <c r="F19" s="121">
        <f t="shared" si="0"/>
        <v>3</v>
      </c>
      <c r="G19" s="121">
        <f t="shared" si="0"/>
        <v>4</v>
      </c>
      <c r="H19" s="121">
        <f t="shared" si="0"/>
        <v>5</v>
      </c>
      <c r="I19" s="121">
        <f t="shared" si="0"/>
        <v>6</v>
      </c>
      <c r="J19" s="121">
        <f t="shared" si="0"/>
        <v>7</v>
      </c>
      <c r="K19" s="121">
        <f t="shared" si="0"/>
        <v>8</v>
      </c>
      <c r="L19" s="121">
        <f t="shared" si="0"/>
        <v>9</v>
      </c>
      <c r="M19" s="121">
        <f t="shared" si="0"/>
        <v>10</v>
      </c>
      <c r="N19" s="121">
        <f t="shared" si="0"/>
        <v>11</v>
      </c>
      <c r="O19" s="121">
        <f t="shared" si="0"/>
        <v>12</v>
      </c>
      <c r="P19" s="121">
        <f t="shared" si="0"/>
        <v>13</v>
      </c>
      <c r="Q19" s="121">
        <f t="shared" si="0"/>
        <v>14</v>
      </c>
      <c r="R19" s="121">
        <f t="shared" si="0"/>
        <v>15</v>
      </c>
      <c r="S19" s="121">
        <f t="shared" si="0"/>
        <v>16</v>
      </c>
      <c r="T19" s="121">
        <f t="shared" si="0"/>
        <v>17</v>
      </c>
      <c r="U19" s="121">
        <f t="shared" si="0"/>
        <v>18</v>
      </c>
      <c r="V19" s="121">
        <f t="shared" si="0"/>
        <v>19</v>
      </c>
      <c r="W19" s="121">
        <f t="shared" si="0"/>
        <v>20</v>
      </c>
      <c r="X19" s="148">
        <f>W19+1</f>
        <v>21</v>
      </c>
      <c r="Y19" s="148">
        <f>X19+1</f>
        <v>22</v>
      </c>
      <c r="Z19" s="148">
        <f>Y19+1</f>
        <v>23</v>
      </c>
      <c r="AA19" s="148">
        <f>Z19+1</f>
        <v>24</v>
      </c>
      <c r="AB19" s="154">
        <f>AA19+1</f>
        <v>25</v>
      </c>
    </row>
    <row r="20" spans="1:28" x14ac:dyDescent="0.25">
      <c r="B20" s="15"/>
      <c r="C20" s="15"/>
    </row>
    <row r="21" spans="1:28" x14ac:dyDescent="0.25">
      <c r="B21" s="15" t="s">
        <v>115</v>
      </c>
      <c r="C21" s="15"/>
    </row>
    <row r="22" spans="1:28" x14ac:dyDescent="0.25">
      <c r="B22" s="36" t="s">
        <v>39</v>
      </c>
      <c r="C22" s="16"/>
      <c r="D22" s="8">
        <f t="shared" ref="D22:AB22" si="1">VLOOKUP($D$5,$F$4:$H$8,3)</f>
        <v>595736.06400000001</v>
      </c>
      <c r="E22" s="8">
        <f t="shared" si="1"/>
        <v>595736.06400000001</v>
      </c>
      <c r="F22" s="8">
        <f t="shared" si="1"/>
        <v>595736.06400000001</v>
      </c>
      <c r="G22" s="8">
        <f t="shared" si="1"/>
        <v>595736.06400000001</v>
      </c>
      <c r="H22" s="8">
        <f t="shared" si="1"/>
        <v>595736.06400000001</v>
      </c>
      <c r="I22" s="8">
        <f t="shared" si="1"/>
        <v>595736.06400000001</v>
      </c>
      <c r="J22" s="8">
        <f t="shared" si="1"/>
        <v>595736.06400000001</v>
      </c>
      <c r="K22" s="8">
        <f t="shared" si="1"/>
        <v>595736.06400000001</v>
      </c>
      <c r="L22" s="8">
        <f t="shared" si="1"/>
        <v>595736.06400000001</v>
      </c>
      <c r="M22" s="8">
        <f t="shared" si="1"/>
        <v>595736.06400000001</v>
      </c>
      <c r="N22" s="8">
        <f t="shared" si="1"/>
        <v>595736.06400000001</v>
      </c>
      <c r="O22" s="8">
        <f t="shared" si="1"/>
        <v>595736.06400000001</v>
      </c>
      <c r="P22" s="8">
        <f t="shared" si="1"/>
        <v>595736.06400000001</v>
      </c>
      <c r="Q22" s="8">
        <f t="shared" si="1"/>
        <v>595736.06400000001</v>
      </c>
      <c r="R22" s="8">
        <f t="shared" si="1"/>
        <v>595736.06400000001</v>
      </c>
      <c r="S22" s="8">
        <f t="shared" si="1"/>
        <v>595736.06400000001</v>
      </c>
      <c r="T22" s="8">
        <f t="shared" si="1"/>
        <v>595736.06400000001</v>
      </c>
      <c r="U22" s="8">
        <f t="shared" si="1"/>
        <v>595736.06400000001</v>
      </c>
      <c r="V22" s="8">
        <f t="shared" si="1"/>
        <v>595736.06400000001</v>
      </c>
      <c r="W22" s="8">
        <f t="shared" si="1"/>
        <v>595736.06400000001</v>
      </c>
      <c r="X22" s="8">
        <f t="shared" si="1"/>
        <v>595736.06400000001</v>
      </c>
      <c r="Y22" s="8">
        <f t="shared" si="1"/>
        <v>595736.06400000001</v>
      </c>
      <c r="Z22" s="8">
        <f t="shared" si="1"/>
        <v>595736.06400000001</v>
      </c>
      <c r="AA22" s="8">
        <f t="shared" si="1"/>
        <v>595736.06400000001</v>
      </c>
      <c r="AB22" s="8">
        <f t="shared" si="1"/>
        <v>595736.06400000001</v>
      </c>
    </row>
    <row r="23" spans="1:28" x14ac:dyDescent="0.25">
      <c r="B23" s="37" t="s">
        <v>54</v>
      </c>
      <c r="C23" s="17"/>
      <c r="D23" s="18">
        <f>Assumptions!H15</f>
        <v>55</v>
      </c>
      <c r="E23" s="18">
        <f t="shared" ref="E23:W23" si="2">D23*(1+$D$6)</f>
        <v>56.374999999999993</v>
      </c>
      <c r="F23" s="18">
        <f t="shared" si="2"/>
        <v>57.78437499999999</v>
      </c>
      <c r="G23" s="18">
        <f t="shared" si="2"/>
        <v>59.228984374999982</v>
      </c>
      <c r="H23" s="18">
        <f t="shared" si="2"/>
        <v>60.709708984374977</v>
      </c>
      <c r="I23" s="18">
        <f t="shared" si="2"/>
        <v>62.227451708984347</v>
      </c>
      <c r="J23" s="18">
        <f t="shared" si="2"/>
        <v>63.783138001708949</v>
      </c>
      <c r="K23" s="18">
        <f t="shared" si="2"/>
        <v>65.377716451751667</v>
      </c>
      <c r="L23" s="18">
        <f t="shared" si="2"/>
        <v>67.012159363045456</v>
      </c>
      <c r="M23" s="18">
        <f t="shared" si="2"/>
        <v>68.687463347121593</v>
      </c>
      <c r="N23" s="18">
        <f t="shared" si="2"/>
        <v>70.404649930799621</v>
      </c>
      <c r="O23" s="18">
        <f t="shared" si="2"/>
        <v>72.164766179069602</v>
      </c>
      <c r="P23" s="18">
        <f t="shared" si="2"/>
        <v>73.968885333546339</v>
      </c>
      <c r="Q23" s="18">
        <f t="shared" si="2"/>
        <v>75.818107466884996</v>
      </c>
      <c r="R23" s="18">
        <f t="shared" si="2"/>
        <v>77.713560153557111</v>
      </c>
      <c r="S23" s="18">
        <f t="shared" si="2"/>
        <v>79.656399157396038</v>
      </c>
      <c r="T23" s="18">
        <f t="shared" si="2"/>
        <v>81.647809136330935</v>
      </c>
      <c r="U23" s="18">
        <f t="shared" si="2"/>
        <v>83.689004364739205</v>
      </c>
      <c r="V23" s="18">
        <f t="shared" si="2"/>
        <v>85.781229473857678</v>
      </c>
      <c r="W23" s="18">
        <f t="shared" si="2"/>
        <v>87.925760210704112</v>
      </c>
      <c r="X23" s="18">
        <f>W23*(1+$D$6)</f>
        <v>90.123904215971706</v>
      </c>
      <c r="Y23" s="18">
        <f>X23*(1+$D$6)</f>
        <v>92.377001821370996</v>
      </c>
      <c r="Z23" s="18">
        <f>Y23*(1+$D$6)</f>
        <v>94.686426866905265</v>
      </c>
      <c r="AA23" s="18">
        <f>Z23*(1+$D$6)</f>
        <v>97.053587538577887</v>
      </c>
      <c r="AB23" s="18">
        <f>AA23*(1+$D$6)</f>
        <v>99.479927227042324</v>
      </c>
    </row>
    <row r="24" spans="1:28" x14ac:dyDescent="0.25">
      <c r="B24" s="1" t="s">
        <v>38</v>
      </c>
      <c r="C24" s="1"/>
      <c r="D24" s="19">
        <f t="shared" ref="D24:W24" si="3">D22*D23/1000</f>
        <v>32765.483519999998</v>
      </c>
      <c r="E24" s="19">
        <f t="shared" si="3"/>
        <v>33584.620607999997</v>
      </c>
      <c r="F24" s="19">
        <f t="shared" si="3"/>
        <v>34424.236123199989</v>
      </c>
      <c r="G24" s="19">
        <f t="shared" si="3"/>
        <v>35284.842026279992</v>
      </c>
      <c r="H24" s="19">
        <f t="shared" si="3"/>
        <v>36166.963076936991</v>
      </c>
      <c r="I24" s="19">
        <f t="shared" si="3"/>
        <v>37071.137153860414</v>
      </c>
      <c r="J24" s="19">
        <f t="shared" si="3"/>
        <v>37997.915582706912</v>
      </c>
      <c r="K24" s="19">
        <f t="shared" si="3"/>
        <v>38947.863472274585</v>
      </c>
      <c r="L24" s="19">
        <f t="shared" si="3"/>
        <v>39921.56005908145</v>
      </c>
      <c r="M24" s="19">
        <f t="shared" si="3"/>
        <v>40919.599060558481</v>
      </c>
      <c r="N24" s="19">
        <f t="shared" si="3"/>
        <v>41942.589037072445</v>
      </c>
      <c r="O24" s="19">
        <f t="shared" si="3"/>
        <v>42991.153762999245</v>
      </c>
      <c r="P24" s="19">
        <f t="shared" si="3"/>
        <v>44065.932607074225</v>
      </c>
      <c r="Q24" s="19">
        <f t="shared" si="3"/>
        <v>45167.580922251072</v>
      </c>
      <c r="R24" s="19">
        <f t="shared" si="3"/>
        <v>46296.770445307353</v>
      </c>
      <c r="S24" s="19">
        <f t="shared" si="3"/>
        <v>47454.189706440033</v>
      </c>
      <c r="T24" s="19">
        <f t="shared" si="3"/>
        <v>48640.544449101028</v>
      </c>
      <c r="U24" s="19">
        <f t="shared" si="3"/>
        <v>49856.558060328556</v>
      </c>
      <c r="V24" s="19">
        <f t="shared" si="3"/>
        <v>51102.97201183677</v>
      </c>
      <c r="W24" s="19">
        <f t="shared" si="3"/>
        <v>52380.546312132676</v>
      </c>
      <c r="X24" s="19">
        <f>X22*X23/1000</f>
        <v>53690.059969935988</v>
      </c>
      <c r="Y24" s="19">
        <f>Y22*Y23/1000</f>
        <v>55032.311469184395</v>
      </c>
      <c r="Z24" s="19">
        <f>Z22*Z23/1000</f>
        <v>56408.119255913996</v>
      </c>
      <c r="AA24" s="19">
        <f>AA22*AA23/1000</f>
        <v>57818.322237311841</v>
      </c>
      <c r="AB24" s="19">
        <f>AB22*AB23/1000</f>
        <v>59263.780293244628</v>
      </c>
    </row>
    <row r="26" spans="1:28" x14ac:dyDescent="0.25">
      <c r="B26" s="15" t="s">
        <v>117</v>
      </c>
    </row>
    <row r="27" spans="1:28" x14ac:dyDescent="0.25">
      <c r="B27" s="36" t="str">
        <f>Assumptions!B22</f>
        <v>Royalties</v>
      </c>
      <c r="D27" s="20">
        <f>-D24*Assumptions!$C$22</f>
        <v>-982.96450559999994</v>
      </c>
      <c r="E27" s="20">
        <f>-E24*Assumptions!$C$22</f>
        <v>-1007.5386182399999</v>
      </c>
      <c r="F27" s="20">
        <f>-F24*Assumptions!$C$22</f>
        <v>-1032.7270836959997</v>
      </c>
      <c r="G27" s="20">
        <f>-G24*Assumptions!$C$22</f>
        <v>-1058.5452607883997</v>
      </c>
      <c r="H27" s="20">
        <f>-H24*Assumptions!$C$22</f>
        <v>-1085.0088923081096</v>
      </c>
      <c r="I27" s="20">
        <f>-I24*Assumptions!$C$22</f>
        <v>-1112.1341146158125</v>
      </c>
      <c r="J27" s="20">
        <f>-J24*Assumptions!$C$22</f>
        <v>-1139.9374674812072</v>
      </c>
      <c r="K27" s="20">
        <f>-K24*Assumptions!$C$22</f>
        <v>-1168.4359041682376</v>
      </c>
      <c r="L27" s="20">
        <f>-L24*Assumptions!$C$22</f>
        <v>-1197.6468017724435</v>
      </c>
      <c r="M27" s="20">
        <f>-M24*Assumptions!$C$22</f>
        <v>-1227.5879718167544</v>
      </c>
      <c r="N27" s="20">
        <f>-N24*Assumptions!$C$22</f>
        <v>-1258.2776711121733</v>
      </c>
      <c r="O27" s="20">
        <f>-O24*Assumptions!$C$22</f>
        <v>-1289.7346128899774</v>
      </c>
      <c r="P27" s="20">
        <f>-P24*Assumptions!$C$22</f>
        <v>-1321.9779782122266</v>
      </c>
      <c r="Q27" s="20">
        <f>-Q24*Assumptions!$C$22</f>
        <v>-1355.027427667532</v>
      </c>
      <c r="R27" s="20">
        <f>-R24*Assumptions!$C$22</f>
        <v>-1388.9031133592205</v>
      </c>
      <c r="S27" s="20">
        <f>-S24*Assumptions!$C$22</f>
        <v>-1423.625691193201</v>
      </c>
      <c r="T27" s="20">
        <f>-T24*Assumptions!$C$22</f>
        <v>-1459.2163334730308</v>
      </c>
      <c r="U27" s="20">
        <f>-U24*Assumptions!$C$22</f>
        <v>-1495.6967418098566</v>
      </c>
      <c r="V27" s="20">
        <f>-V24*Assumptions!$C$22</f>
        <v>-1533.0891603551031</v>
      </c>
      <c r="W27" s="20">
        <f>-W24*Assumptions!$C$22</f>
        <v>-1571.4163893639802</v>
      </c>
      <c r="X27" s="20">
        <f>-X24*Assumptions!$C$22</f>
        <v>-1610.7017990980796</v>
      </c>
      <c r="Y27" s="20">
        <f>-Y24*Assumptions!$C$22</f>
        <v>-1650.9693440755318</v>
      </c>
      <c r="Z27" s="20">
        <f>-Z24*Assumptions!$C$22</f>
        <v>-1692.2435776774198</v>
      </c>
      <c r="AA27" s="20">
        <f>-AA24*Assumptions!$C$22</f>
        <v>-1734.5496671193553</v>
      </c>
      <c r="AB27" s="20">
        <f>-AB24*Assumptions!$C$22</f>
        <v>-1777.9134087973389</v>
      </c>
    </row>
    <row r="28" spans="1:28" x14ac:dyDescent="0.25">
      <c r="B28" s="36" t="str">
        <f>Assumptions!B23</f>
        <v>Turbine</v>
      </c>
      <c r="D28" s="21">
        <f>-(D$22*Assumptions!$C23*(1+$D$6)^(D$19-1))/1000</f>
        <v>-3723.3503999999998</v>
      </c>
      <c r="E28" s="21">
        <f>-(E$22*Assumptions!$C23*(1+$D$6)^(E$19-1))/1000</f>
        <v>-3816.4341599999998</v>
      </c>
      <c r="F28" s="21">
        <f>-(F$22*Assumptions!$C23*(1+$D$6)^(F$19-1))/1000</f>
        <v>-3911.8450139999995</v>
      </c>
      <c r="G28" s="21">
        <f>-(G$22*Assumptions!$C23*(1+$D$6)^(G$19-1))/1000</f>
        <v>-4009.6411393499993</v>
      </c>
      <c r="H28" s="21">
        <f>-(H$22*Assumptions!$C23*(1+$D$6)^(H$19-1))/1000</f>
        <v>-4109.882167833749</v>
      </c>
      <c r="I28" s="21">
        <f>-(I$22*Assumptions!$C23*(1+$D$6)^(I$19-1))/1000</f>
        <v>-4212.6292220295918</v>
      </c>
      <c r="J28" s="21">
        <f>-(J$22*Assumptions!$C23*(1+$D$6)^(J$19-1))/1000</f>
        <v>-4317.944952580332</v>
      </c>
      <c r="K28" s="21">
        <f>-(K$22*Assumptions!$C23*(1+$D$6)^(K$19-1))/1000</f>
        <v>-4425.8935763948402</v>
      </c>
      <c r="L28" s="21">
        <f>-(L$22*Assumptions!$C23*(1+$D$6)^(L$19-1))/1000</f>
        <v>-4536.5409158047114</v>
      </c>
      <c r="M28" s="21">
        <f>-(M$22*Assumptions!$C23*(1+$D$6)^(M$19-1))/1000</f>
        <v>-4649.9544386998277</v>
      </c>
      <c r="N28" s="21">
        <f>-(N$22*Assumptions!$C23*(1+$D$6)^(N$19-1))/1000</f>
        <v>-4766.2032996673242</v>
      </c>
      <c r="O28" s="21">
        <f>-(O$22*Assumptions!$C23*(1+$D$6)^(O$19-1))/1000</f>
        <v>-4885.3583821590064</v>
      </c>
      <c r="P28" s="21">
        <f>-(P$22*Assumptions!$C23*(1+$D$6)^(P$19-1))/1000</f>
        <v>-5007.4923417129812</v>
      </c>
      <c r="Q28" s="21">
        <f>-(Q$22*Assumptions!$C23*(1+$D$6)^(Q$19-1))/1000</f>
        <v>-5132.6796502558054</v>
      </c>
      <c r="R28" s="21">
        <f>-(R$22*Assumptions!$C23*(1+$D$6)^(R$19-1))/1000</f>
        <v>-5260.9966415121999</v>
      </c>
      <c r="S28" s="21">
        <f>-(S$22*Assumptions!$C23*(1+$D$6)^(S$19-1))/1000</f>
        <v>-5392.5215575500069</v>
      </c>
      <c r="T28" s="21">
        <f>-(T$22*Assumptions!$C23*(1+$D$6)^(T$19-1))/1000</f>
        <v>-5527.3345964887558</v>
      </c>
      <c r="U28" s="21">
        <f>-(U$22*Assumptions!$C23*(1+$D$6)^(U$19-1))/1000</f>
        <v>-5665.5179614009739</v>
      </c>
      <c r="V28" s="21">
        <f>-(V$22*Assumptions!$C23*(1+$D$6)^(V$19-1))/1000</f>
        <v>-5807.1559104359985</v>
      </c>
      <c r="W28" s="21">
        <f>-(W$22*Assumptions!$C23*(1+$D$6)^(W$19-1))/1000</f>
        <v>-5952.3348081968988</v>
      </c>
      <c r="X28" s="21">
        <f>-(X$22*Assumptions!$C23*(1+$D$6)^(X$19-1))/1000</f>
        <v>-6101.1431784018205</v>
      </c>
      <c r="Y28" s="21">
        <f>-(Y$22*Assumptions!$C23*(1+$D$6)^(Y$19-1))/1000</f>
        <v>-6253.6717578618645</v>
      </c>
      <c r="Z28" s="21">
        <f>-(Z$22*Assumptions!$C23*(1+$D$6)^(Z$19-1))/1000</f>
        <v>-6410.0135518084116</v>
      </c>
      <c r="AA28" s="21">
        <f>-(AA$22*Assumptions!$C23*(1+$D$6)^(AA$19-1))/1000</f>
        <v>-6570.2638906036227</v>
      </c>
      <c r="AB28" s="21">
        <f>-(AB$22*Assumptions!$C23*(1+$D$6)^(AB$19-1))/1000</f>
        <v>-6734.5204878687127</v>
      </c>
    </row>
    <row r="29" spans="1:28" x14ac:dyDescent="0.25">
      <c r="B29" s="36" t="str">
        <f>Assumptions!B24</f>
        <v>BOP</v>
      </c>
      <c r="D29" s="21">
        <f>-(D$22*Assumptions!$C24*(1+$D$6)^(D$19-1))/1000</f>
        <v>-1191.4721280000001</v>
      </c>
      <c r="E29" s="21">
        <f>-(E$22*Assumptions!$C24*(1+$D$6)^(E$19-1))/1000</f>
        <v>-1221.2589312</v>
      </c>
      <c r="F29" s="21">
        <f>-(F$22*Assumptions!$C24*(1+$D$6)^(F$19-1))/1000</f>
        <v>-1251.79040448</v>
      </c>
      <c r="G29" s="21">
        <f>-(G$22*Assumptions!$C24*(1+$D$6)^(G$19-1))/1000</f>
        <v>-1283.085164592</v>
      </c>
      <c r="H29" s="21">
        <f>-(H$22*Assumptions!$C24*(1+$D$6)^(H$19-1))/1000</f>
        <v>-1315.1622937067998</v>
      </c>
      <c r="I29" s="21">
        <f>-(I$22*Assumptions!$C24*(1+$D$6)^(I$19-1))/1000</f>
        <v>-1348.0413510494695</v>
      </c>
      <c r="J29" s="21">
        <f>-(J$22*Assumptions!$C24*(1+$D$6)^(J$19-1))/1000</f>
        <v>-1381.7423848257063</v>
      </c>
      <c r="K29" s="21">
        <f>-(K$22*Assumptions!$C24*(1+$D$6)^(K$19-1))/1000</f>
        <v>-1416.285944446349</v>
      </c>
      <c r="L29" s="21">
        <f>-(L$22*Assumptions!$C24*(1+$D$6)^(L$19-1))/1000</f>
        <v>-1451.6930930575077</v>
      </c>
      <c r="M29" s="21">
        <f>-(M$22*Assumptions!$C24*(1+$D$6)^(M$19-1))/1000</f>
        <v>-1487.9854203839452</v>
      </c>
      <c r="N29" s="21">
        <f>-(N$22*Assumptions!$C24*(1+$D$6)^(N$19-1))/1000</f>
        <v>-1525.1850558935437</v>
      </c>
      <c r="O29" s="21">
        <f>-(O$22*Assumptions!$C24*(1+$D$6)^(O$19-1))/1000</f>
        <v>-1563.3146822908823</v>
      </c>
      <c r="P29" s="21">
        <f>-(P$22*Assumptions!$C24*(1+$D$6)^(P$19-1))/1000</f>
        <v>-1602.3975493481541</v>
      </c>
      <c r="Q29" s="21">
        <f>-(Q$22*Assumptions!$C24*(1+$D$6)^(Q$19-1))/1000</f>
        <v>-1642.4574880818579</v>
      </c>
      <c r="R29" s="21">
        <f>-(R$22*Assumptions!$C24*(1+$D$6)^(R$19-1))/1000</f>
        <v>-1683.5189252839041</v>
      </c>
      <c r="S29" s="21">
        <f>-(S$22*Assumptions!$C24*(1+$D$6)^(S$19-1))/1000</f>
        <v>-1725.606898416002</v>
      </c>
      <c r="T29" s="21">
        <f>-(T$22*Assumptions!$C24*(1+$D$6)^(T$19-1))/1000</f>
        <v>-1768.7470708764019</v>
      </c>
      <c r="U29" s="21">
        <f>-(U$22*Assumptions!$C24*(1+$D$6)^(U$19-1))/1000</f>
        <v>-1812.9657476483119</v>
      </c>
      <c r="V29" s="21">
        <f>-(V$22*Assumptions!$C24*(1+$D$6)^(V$19-1))/1000</f>
        <v>-1858.2898913395195</v>
      </c>
      <c r="W29" s="21">
        <f>-(W$22*Assumptions!$C24*(1+$D$6)^(W$19-1))/1000</f>
        <v>-1904.7471386230077</v>
      </c>
      <c r="X29" s="21">
        <f>-(X$22*Assumptions!$C24*(1+$D$6)^(X$19-1))/1000</f>
        <v>-1952.3658170885826</v>
      </c>
      <c r="Y29" s="21">
        <f>-(Y$22*Assumptions!$C24*(1+$D$6)^(Y$19-1))/1000</f>
        <v>-2001.174962515797</v>
      </c>
      <c r="Z29" s="21">
        <f>-(Z$22*Assumptions!$C24*(1+$D$6)^(Z$19-1))/1000</f>
        <v>-2051.2043365786917</v>
      </c>
      <c r="AA29" s="21">
        <f>-(AA$22*Assumptions!$C24*(1+$D$6)^(AA$19-1))/1000</f>
        <v>-2102.4844449931593</v>
      </c>
      <c r="AB29" s="21">
        <f>-(AB$22*Assumptions!$C24*(1+$D$6)^(AB$19-1))/1000</f>
        <v>-2155.0465561179881</v>
      </c>
    </row>
    <row r="30" spans="1:28" x14ac:dyDescent="0.25">
      <c r="B30" s="36" t="str">
        <f>Assumptions!B25</f>
        <v>Utilities</v>
      </c>
      <c r="D30" s="21">
        <f>-(D$22*Assumptions!$C25*(1+$D$6)^(D$19-1))/1000</f>
        <v>-238.29442560000001</v>
      </c>
      <c r="E30" s="21">
        <f>-(E$22*Assumptions!$C25*(1+$D$6)^(E$19-1))/1000</f>
        <v>-244.25178623999997</v>
      </c>
      <c r="F30" s="21">
        <f>-(F$22*Assumptions!$C25*(1+$D$6)^(F$19-1))/1000</f>
        <v>-250.35808089599999</v>
      </c>
      <c r="G30" s="21">
        <f>-(G$22*Assumptions!$C25*(1+$D$6)^(G$19-1))/1000</f>
        <v>-256.61703291840001</v>
      </c>
      <c r="H30" s="21">
        <f>-(H$22*Assumptions!$C25*(1+$D$6)^(H$19-1))/1000</f>
        <v>-263.03245874135996</v>
      </c>
      <c r="I30" s="21">
        <f>-(I$22*Assumptions!$C25*(1+$D$6)^(I$19-1))/1000</f>
        <v>-269.60827020989393</v>
      </c>
      <c r="J30" s="21">
        <f>-(J$22*Assumptions!$C25*(1+$D$6)^(J$19-1))/1000</f>
        <v>-276.34847696514123</v>
      </c>
      <c r="K30" s="21">
        <f>-(K$22*Assumptions!$C25*(1+$D$6)^(K$19-1))/1000</f>
        <v>-283.25718888926986</v>
      </c>
      <c r="L30" s="21">
        <f>-(L$22*Assumptions!$C25*(1+$D$6)^(L$19-1))/1000</f>
        <v>-290.33861861150154</v>
      </c>
      <c r="M30" s="21">
        <f>-(M$22*Assumptions!$C25*(1+$D$6)^(M$19-1))/1000</f>
        <v>-297.59708407678903</v>
      </c>
      <c r="N30" s="21">
        <f>-(N$22*Assumptions!$C25*(1+$D$6)^(N$19-1))/1000</f>
        <v>-305.03701117870872</v>
      </c>
      <c r="O30" s="21">
        <f>-(O$22*Assumptions!$C25*(1+$D$6)^(O$19-1))/1000</f>
        <v>-312.66293645817649</v>
      </c>
      <c r="P30" s="21">
        <f>-(P$22*Assumptions!$C25*(1+$D$6)^(P$19-1))/1000</f>
        <v>-320.47950986963087</v>
      </c>
      <c r="Q30" s="21">
        <f>-(Q$22*Assumptions!$C25*(1+$D$6)^(Q$19-1))/1000</f>
        <v>-328.49149761637159</v>
      </c>
      <c r="R30" s="21">
        <f>-(R$22*Assumptions!$C25*(1+$D$6)^(R$19-1))/1000</f>
        <v>-336.70378505678087</v>
      </c>
      <c r="S30" s="21">
        <f>-(S$22*Assumptions!$C25*(1+$D$6)^(S$19-1))/1000</f>
        <v>-345.12137968320042</v>
      </c>
      <c r="T30" s="21">
        <f>-(T$22*Assumptions!$C25*(1+$D$6)^(T$19-1))/1000</f>
        <v>-353.74941417528044</v>
      </c>
      <c r="U30" s="21">
        <f>-(U$22*Assumptions!$C25*(1+$D$6)^(U$19-1))/1000</f>
        <v>-362.59314952966241</v>
      </c>
      <c r="V30" s="21">
        <f>-(V$22*Assumptions!$C25*(1+$D$6)^(V$19-1))/1000</f>
        <v>-371.65797826790396</v>
      </c>
      <c r="W30" s="21">
        <f>-(W$22*Assumptions!$C25*(1+$D$6)^(W$19-1))/1000</f>
        <v>-380.94942772460155</v>
      </c>
      <c r="X30" s="21">
        <f>-(X$22*Assumptions!$C25*(1+$D$6)^(X$19-1))/1000</f>
        <v>-390.47316341771653</v>
      </c>
      <c r="Y30" s="21">
        <f>-(Y$22*Assumptions!$C25*(1+$D$6)^(Y$19-1))/1000</f>
        <v>-400.23499250315939</v>
      </c>
      <c r="Z30" s="21">
        <f>-(Z$22*Assumptions!$C25*(1+$D$6)^(Z$19-1))/1000</f>
        <v>-410.2408673157384</v>
      </c>
      <c r="AA30" s="21">
        <f>-(AA$22*Assumptions!$C25*(1+$D$6)^(AA$19-1))/1000</f>
        <v>-420.49688899863185</v>
      </c>
      <c r="AB30" s="21">
        <f>-(AB$22*Assumptions!$C25*(1+$D$6)^(AB$19-1))/1000</f>
        <v>-431.00931122359759</v>
      </c>
    </row>
    <row r="31" spans="1:28" x14ac:dyDescent="0.25">
      <c r="B31" s="36" t="str">
        <f>Assumptions!B26</f>
        <v>Project Mgmt</v>
      </c>
      <c r="D31" s="21">
        <f>-(D$22*Assumptions!$C26*(1+$D$6)^(D$19-1))/1000</f>
        <v>-744.6700800000001</v>
      </c>
      <c r="E31" s="21">
        <f>-(E$22*Assumptions!$C26*(1+$D$6)^(E$19-1))/1000</f>
        <v>-763.286832</v>
      </c>
      <c r="F31" s="21">
        <f>-(F$22*Assumptions!$C26*(1+$D$6)^(F$19-1))/1000</f>
        <v>-782.36900279999998</v>
      </c>
      <c r="G31" s="21">
        <f>-(G$22*Assumptions!$C26*(1+$D$6)^(G$19-1))/1000</f>
        <v>-801.92822787</v>
      </c>
      <c r="H31" s="21">
        <f>-(H$22*Assumptions!$C26*(1+$D$6)^(H$19-1))/1000</f>
        <v>-821.97643356674996</v>
      </c>
      <c r="I31" s="21">
        <f>-(I$22*Assumptions!$C26*(1+$D$6)^(I$19-1))/1000</f>
        <v>-842.52584440591863</v>
      </c>
      <c r="J31" s="21">
        <f>-(J$22*Assumptions!$C26*(1+$D$6)^(J$19-1))/1000</f>
        <v>-863.58899051606647</v>
      </c>
      <c r="K31" s="21">
        <f>-(K$22*Assumptions!$C26*(1+$D$6)^(K$19-1))/1000</f>
        <v>-885.17871527896818</v>
      </c>
      <c r="L31" s="21">
        <f>-(L$22*Assumptions!$C26*(1+$D$6)^(L$19-1))/1000</f>
        <v>-907.30818316094224</v>
      </c>
      <c r="M31" s="21">
        <f>-(M$22*Assumptions!$C26*(1+$D$6)^(M$19-1))/1000</f>
        <v>-929.99088773996573</v>
      </c>
      <c r="N31" s="21">
        <f>-(N$22*Assumptions!$C26*(1+$D$6)^(N$19-1))/1000</f>
        <v>-953.24065993346483</v>
      </c>
      <c r="O31" s="21">
        <f>-(O$22*Assumptions!$C26*(1+$D$6)^(O$19-1))/1000</f>
        <v>-977.07167643180151</v>
      </c>
      <c r="P31" s="21">
        <f>-(P$22*Assumptions!$C26*(1+$D$6)^(P$19-1))/1000</f>
        <v>-1001.4984683425964</v>
      </c>
      <c r="Q31" s="21">
        <f>-(Q$22*Assumptions!$C26*(1+$D$6)^(Q$19-1))/1000</f>
        <v>-1026.5359300511614</v>
      </c>
      <c r="R31" s="21">
        <f>-(R$22*Assumptions!$C26*(1+$D$6)^(R$19-1))/1000</f>
        <v>-1052.1993283024403</v>
      </c>
      <c r="S31" s="21">
        <f>-(S$22*Assumptions!$C26*(1+$D$6)^(S$19-1))/1000</f>
        <v>-1078.5043115100013</v>
      </c>
      <c r="T31" s="21">
        <f>-(T$22*Assumptions!$C26*(1+$D$6)^(T$19-1))/1000</f>
        <v>-1105.4669192977512</v>
      </c>
      <c r="U31" s="21">
        <f>-(U$22*Assumptions!$C26*(1+$D$6)^(U$19-1))/1000</f>
        <v>-1133.1035922801948</v>
      </c>
      <c r="V31" s="21">
        <f>-(V$22*Assumptions!$C26*(1+$D$6)^(V$19-1))/1000</f>
        <v>-1161.4311820871997</v>
      </c>
      <c r="W31" s="21">
        <f>-(W$22*Assumptions!$C26*(1+$D$6)^(W$19-1))/1000</f>
        <v>-1190.4669616393799</v>
      </c>
      <c r="X31" s="21">
        <f>-(X$22*Assumptions!$C26*(1+$D$6)^(X$19-1))/1000</f>
        <v>-1220.2286356803643</v>
      </c>
      <c r="Y31" s="21">
        <f>-(Y$22*Assumptions!$C26*(1+$D$6)^(Y$19-1))/1000</f>
        <v>-1250.7343515723733</v>
      </c>
      <c r="Z31" s="21">
        <f>-(Z$22*Assumptions!$C26*(1+$D$6)^(Z$19-1))/1000</f>
        <v>-1282.0027103616824</v>
      </c>
      <c r="AA31" s="21">
        <f>-(AA$22*Assumptions!$C26*(1+$D$6)^(AA$19-1))/1000</f>
        <v>-1314.0527781207245</v>
      </c>
      <c r="AB31" s="21">
        <f>-(AB$22*Assumptions!$C26*(1+$D$6)^(AB$19-1))/1000</f>
        <v>-1346.9040975737425</v>
      </c>
    </row>
    <row r="32" spans="1:28" x14ac:dyDescent="0.25">
      <c r="B32" s="36" t="str">
        <f>Assumptions!B27</f>
        <v>Insurance</v>
      </c>
      <c r="D32" s="21">
        <f>-(D$22*Assumptions!$C27*(1+$D$6)^(D$19-1))/1000</f>
        <v>-595.73606400000006</v>
      </c>
      <c r="E32" s="21">
        <f>-(E$22*Assumptions!$C27*(1+$D$6)^(E$19-1))/1000</f>
        <v>-610.6294656</v>
      </c>
      <c r="F32" s="21">
        <f>-(F$22*Assumptions!$C27*(1+$D$6)^(F$19-1))/1000</f>
        <v>-625.89520224</v>
      </c>
      <c r="G32" s="21">
        <f>-(G$22*Assumptions!$C27*(1+$D$6)^(G$19-1))/1000</f>
        <v>-641.54258229599998</v>
      </c>
      <c r="H32" s="21">
        <f>-(H$22*Assumptions!$C27*(1+$D$6)^(H$19-1))/1000</f>
        <v>-657.5811468533999</v>
      </c>
      <c r="I32" s="21">
        <f>-(I$22*Assumptions!$C27*(1+$D$6)^(I$19-1))/1000</f>
        <v>-674.02067552473477</v>
      </c>
      <c r="J32" s="21">
        <f>-(J$22*Assumptions!$C27*(1+$D$6)^(J$19-1))/1000</f>
        <v>-690.87119241285313</v>
      </c>
      <c r="K32" s="21">
        <f>-(K$22*Assumptions!$C27*(1+$D$6)^(K$19-1))/1000</f>
        <v>-708.14297222317452</v>
      </c>
      <c r="L32" s="21">
        <f>-(L$22*Assumptions!$C27*(1+$D$6)^(L$19-1))/1000</f>
        <v>-725.84654652875383</v>
      </c>
      <c r="M32" s="21">
        <f>-(M$22*Assumptions!$C27*(1+$D$6)^(M$19-1))/1000</f>
        <v>-743.99271019197261</v>
      </c>
      <c r="N32" s="21">
        <f>-(N$22*Assumptions!$C27*(1+$D$6)^(N$19-1))/1000</f>
        <v>-762.59252794677184</v>
      </c>
      <c r="O32" s="21">
        <f>-(O$22*Assumptions!$C27*(1+$D$6)^(O$19-1))/1000</f>
        <v>-781.65734114544114</v>
      </c>
      <c r="P32" s="21">
        <f>-(P$22*Assumptions!$C27*(1+$D$6)^(P$19-1))/1000</f>
        <v>-801.19877467407707</v>
      </c>
      <c r="Q32" s="21">
        <f>-(Q$22*Assumptions!$C27*(1+$D$6)^(Q$19-1))/1000</f>
        <v>-821.22874404092897</v>
      </c>
      <c r="R32" s="21">
        <f>-(R$22*Assumptions!$C27*(1+$D$6)^(R$19-1))/1000</f>
        <v>-841.75946264195204</v>
      </c>
      <c r="S32" s="21">
        <f>-(S$22*Assumptions!$C27*(1+$D$6)^(S$19-1))/1000</f>
        <v>-862.80344920800098</v>
      </c>
      <c r="T32" s="21">
        <f>-(T$22*Assumptions!$C27*(1+$D$6)^(T$19-1))/1000</f>
        <v>-884.37353543820097</v>
      </c>
      <c r="U32" s="21">
        <f>-(U$22*Assumptions!$C27*(1+$D$6)^(U$19-1))/1000</f>
        <v>-906.48287382415594</v>
      </c>
      <c r="V32" s="21">
        <f>-(V$22*Assumptions!$C27*(1+$D$6)^(V$19-1))/1000</f>
        <v>-929.14494566975975</v>
      </c>
      <c r="W32" s="21">
        <f>-(W$22*Assumptions!$C27*(1+$D$6)^(W$19-1))/1000</f>
        <v>-952.37356931150384</v>
      </c>
      <c r="X32" s="21">
        <f>-(X$22*Assumptions!$C27*(1+$D$6)^(X$19-1))/1000</f>
        <v>-976.18290854429131</v>
      </c>
      <c r="Y32" s="21">
        <f>-(Y$22*Assumptions!$C27*(1+$D$6)^(Y$19-1))/1000</f>
        <v>-1000.5874812578985</v>
      </c>
      <c r="Z32" s="21">
        <f>-(Z$22*Assumptions!$C27*(1+$D$6)^(Z$19-1))/1000</f>
        <v>-1025.6021682893459</v>
      </c>
      <c r="AA32" s="21">
        <f>-(AA$22*Assumptions!$C27*(1+$D$6)^(AA$19-1))/1000</f>
        <v>-1051.2422224965796</v>
      </c>
      <c r="AB32" s="21">
        <f>-(AB$22*Assumptions!$C27*(1+$D$6)^(AB$19-1))/1000</f>
        <v>-1077.523278058994</v>
      </c>
    </row>
    <row r="33" spans="2:28" x14ac:dyDescent="0.25">
      <c r="B33" s="36" t="str">
        <f>Assumptions!B28</f>
        <v>Property Taxes</v>
      </c>
      <c r="D33" s="21">
        <f>-(D$22*Assumptions!$C28*(1+$D$6)^(D$19-1))/1000</f>
        <v>-1191.4721280000001</v>
      </c>
      <c r="E33" s="21">
        <f>-(E$22*Assumptions!$C28*(1+$D$6)^(E$19-1))/1000</f>
        <v>-1221.2589312</v>
      </c>
      <c r="F33" s="21">
        <f>-(F$22*Assumptions!$C28*(1+$D$6)^(F$19-1))/1000</f>
        <v>-1251.79040448</v>
      </c>
      <c r="G33" s="21">
        <f>-(G$22*Assumptions!$C28*(1+$D$6)^(G$19-1))/1000</f>
        <v>-1283.085164592</v>
      </c>
      <c r="H33" s="21">
        <f>-(H$22*Assumptions!$C28*(1+$D$6)^(H$19-1))/1000</f>
        <v>-1315.1622937067998</v>
      </c>
      <c r="I33" s="21">
        <f>-(I$22*Assumptions!$C28*(1+$D$6)^(I$19-1))/1000</f>
        <v>-1348.0413510494695</v>
      </c>
      <c r="J33" s="21">
        <f>-(J$22*Assumptions!$C28*(1+$D$6)^(J$19-1))/1000</f>
        <v>-1381.7423848257063</v>
      </c>
      <c r="K33" s="21">
        <f>-(K$22*Assumptions!$C28*(1+$D$6)^(K$19-1))/1000</f>
        <v>-1416.285944446349</v>
      </c>
      <c r="L33" s="21">
        <f>-(L$22*Assumptions!$C28*(1+$D$6)^(L$19-1))/1000</f>
        <v>-1451.6930930575077</v>
      </c>
      <c r="M33" s="21">
        <f>-(M$22*Assumptions!$C28*(1+$D$6)^(M$19-1))/1000</f>
        <v>-1487.9854203839452</v>
      </c>
      <c r="N33" s="21">
        <f>-(N$22*Assumptions!$C28*(1+$D$6)^(N$19-1))/1000</f>
        <v>-1525.1850558935437</v>
      </c>
      <c r="O33" s="21">
        <f>-(O$22*Assumptions!$C28*(1+$D$6)^(O$19-1))/1000</f>
        <v>-1563.3146822908823</v>
      </c>
      <c r="P33" s="21">
        <f>-(P$22*Assumptions!$C28*(1+$D$6)^(P$19-1))/1000</f>
        <v>-1602.3975493481541</v>
      </c>
      <c r="Q33" s="21">
        <f>-(Q$22*Assumptions!$C28*(1+$D$6)^(Q$19-1))/1000</f>
        <v>-1642.4574880818579</v>
      </c>
      <c r="R33" s="21">
        <f>-(R$22*Assumptions!$C28*(1+$D$6)^(R$19-1))/1000</f>
        <v>-1683.5189252839041</v>
      </c>
      <c r="S33" s="21">
        <f>-(S$22*Assumptions!$C28*(1+$D$6)^(S$19-1))/1000</f>
        <v>-1725.606898416002</v>
      </c>
      <c r="T33" s="21">
        <f>-(T$22*Assumptions!$C28*(1+$D$6)^(T$19-1))/1000</f>
        <v>-1768.7470708764019</v>
      </c>
      <c r="U33" s="21">
        <f>-(U$22*Assumptions!$C28*(1+$D$6)^(U$19-1))/1000</f>
        <v>-1812.9657476483119</v>
      </c>
      <c r="V33" s="21">
        <f>-(V$22*Assumptions!$C28*(1+$D$6)^(V$19-1))/1000</f>
        <v>-1858.2898913395195</v>
      </c>
      <c r="W33" s="21">
        <f>-(W$22*Assumptions!$C28*(1+$D$6)^(W$19-1))/1000</f>
        <v>-1904.7471386230077</v>
      </c>
      <c r="X33" s="21">
        <f>-(X$22*Assumptions!$C28*(1+$D$6)^(X$19-1))/1000</f>
        <v>-1952.3658170885826</v>
      </c>
      <c r="Y33" s="21">
        <f>-(Y$22*Assumptions!$C28*(1+$D$6)^(Y$19-1))/1000</f>
        <v>-2001.174962515797</v>
      </c>
      <c r="Z33" s="21">
        <f>-(Z$22*Assumptions!$C28*(1+$D$6)^(Z$19-1))/1000</f>
        <v>-2051.2043365786917</v>
      </c>
      <c r="AA33" s="21">
        <f>-(AA$22*Assumptions!$C28*(1+$D$6)^(AA$19-1))/1000</f>
        <v>-2102.4844449931593</v>
      </c>
      <c r="AB33" s="21">
        <f>-(AB$22*Assumptions!$C28*(1+$D$6)^(AB$19-1))/1000</f>
        <v>-2155.0465561179881</v>
      </c>
    </row>
    <row r="34" spans="2:28" x14ac:dyDescent="0.25">
      <c r="B34" s="36" t="str">
        <f>Assumptions!B29</f>
        <v>Other Services</v>
      </c>
      <c r="D34" s="21">
        <f>-(D$22*Assumptions!$C29*(1+$D$6)^(D$19-1))/1000</f>
        <v>-595.73606400000006</v>
      </c>
      <c r="E34" s="21">
        <f>-(E$22*Assumptions!$C29*(1+$D$6)^(E$19-1))/1000</f>
        <v>-610.6294656</v>
      </c>
      <c r="F34" s="21">
        <f>-(F$22*Assumptions!$C29*(1+$D$6)^(F$19-1))/1000</f>
        <v>-625.89520224</v>
      </c>
      <c r="G34" s="21">
        <f>-(G$22*Assumptions!$C29*(1+$D$6)^(G$19-1))/1000</f>
        <v>-641.54258229599998</v>
      </c>
      <c r="H34" s="21">
        <f>-(H$22*Assumptions!$C29*(1+$D$6)^(H$19-1))/1000</f>
        <v>-657.5811468533999</v>
      </c>
      <c r="I34" s="21">
        <f>-(I$22*Assumptions!$C29*(1+$D$6)^(I$19-1))/1000</f>
        <v>-674.02067552473477</v>
      </c>
      <c r="J34" s="21">
        <f>-(J$22*Assumptions!$C29*(1+$D$6)^(J$19-1))/1000</f>
        <v>-690.87119241285313</v>
      </c>
      <c r="K34" s="21">
        <f>-(K$22*Assumptions!$C29*(1+$D$6)^(K$19-1))/1000</f>
        <v>-708.14297222317452</v>
      </c>
      <c r="L34" s="21">
        <f>-(L$22*Assumptions!$C29*(1+$D$6)^(L$19-1))/1000</f>
        <v>-725.84654652875383</v>
      </c>
      <c r="M34" s="21">
        <f>-(M$22*Assumptions!$C29*(1+$D$6)^(M$19-1))/1000</f>
        <v>-743.99271019197261</v>
      </c>
      <c r="N34" s="21">
        <f>-(N$22*Assumptions!$C29*(1+$D$6)^(N$19-1))/1000</f>
        <v>-762.59252794677184</v>
      </c>
      <c r="O34" s="21">
        <f>-(O$22*Assumptions!$C29*(1+$D$6)^(O$19-1))/1000</f>
        <v>-781.65734114544114</v>
      </c>
      <c r="P34" s="21">
        <f>-(P$22*Assumptions!$C29*(1+$D$6)^(P$19-1))/1000</f>
        <v>-801.19877467407707</v>
      </c>
      <c r="Q34" s="21">
        <f>-(Q$22*Assumptions!$C29*(1+$D$6)^(Q$19-1))/1000</f>
        <v>-821.22874404092897</v>
      </c>
      <c r="R34" s="21">
        <f>-(R$22*Assumptions!$C29*(1+$D$6)^(R$19-1))/1000</f>
        <v>-841.75946264195204</v>
      </c>
      <c r="S34" s="21">
        <f>-(S$22*Assumptions!$C29*(1+$D$6)^(S$19-1))/1000</f>
        <v>-862.80344920800098</v>
      </c>
      <c r="T34" s="21">
        <f>-(T$22*Assumptions!$C29*(1+$D$6)^(T$19-1))/1000</f>
        <v>-884.37353543820097</v>
      </c>
      <c r="U34" s="21">
        <f>-(U$22*Assumptions!$C29*(1+$D$6)^(U$19-1))/1000</f>
        <v>-906.48287382415594</v>
      </c>
      <c r="V34" s="21">
        <f>-(V$22*Assumptions!$C29*(1+$D$6)^(V$19-1))/1000</f>
        <v>-929.14494566975975</v>
      </c>
      <c r="W34" s="21">
        <f>-(W$22*Assumptions!$C29*(1+$D$6)^(W$19-1))/1000</f>
        <v>-952.37356931150384</v>
      </c>
      <c r="X34" s="21">
        <f>-(X$22*Assumptions!$C29*(1+$D$6)^(X$19-1))/1000</f>
        <v>-976.18290854429131</v>
      </c>
      <c r="Y34" s="21">
        <f>-(Y$22*Assumptions!$C29*(1+$D$6)^(Y$19-1))/1000</f>
        <v>-1000.5874812578985</v>
      </c>
      <c r="Z34" s="21">
        <f>-(Z$22*Assumptions!$C29*(1+$D$6)^(Z$19-1))/1000</f>
        <v>-1025.6021682893459</v>
      </c>
      <c r="AA34" s="21">
        <f>-(AA$22*Assumptions!$C29*(1+$D$6)^(AA$19-1))/1000</f>
        <v>-1051.2422224965796</v>
      </c>
      <c r="AB34" s="21">
        <f>-(AB$22*Assumptions!$C29*(1+$D$6)^(AB$19-1))/1000</f>
        <v>-1077.523278058994</v>
      </c>
    </row>
    <row r="35" spans="2:28" x14ac:dyDescent="0.25">
      <c r="B35" s="37" t="str">
        <f>Assumptions!B30</f>
        <v>Contingency</v>
      </c>
      <c r="C35" s="13"/>
      <c r="D35" s="22">
        <f>SUM(D27:D34)*Assumptions!$C$30</f>
        <v>-463.18478976000006</v>
      </c>
      <c r="E35" s="22">
        <f>SUM(E27:E34)*Assumptions!$C$30</f>
        <v>-474.76440950399996</v>
      </c>
      <c r="F35" s="22">
        <f>SUM(F27:F34)*Assumptions!$C$30</f>
        <v>-486.63351974159997</v>
      </c>
      <c r="G35" s="22">
        <f>SUM(G27:G34)*Assumptions!$C$30</f>
        <v>-498.79935773514001</v>
      </c>
      <c r="H35" s="22">
        <f>SUM(H27:H34)*Assumptions!$C$30</f>
        <v>-511.26934167851834</v>
      </c>
      <c r="I35" s="22">
        <f>SUM(I27:I34)*Assumptions!$C$30</f>
        <v>-524.05107522048127</v>
      </c>
      <c r="J35" s="22">
        <f>SUM(J27:J34)*Assumptions!$C$30</f>
        <v>-537.15235210099331</v>
      </c>
      <c r="K35" s="22">
        <f>SUM(K27:K34)*Assumptions!$C$30</f>
        <v>-550.58116090351814</v>
      </c>
      <c r="L35" s="22">
        <f>SUM(L27:L34)*Assumptions!$C$30</f>
        <v>-564.34568992610605</v>
      </c>
      <c r="M35" s="22">
        <f>SUM(M27:M34)*Assumptions!$C$30</f>
        <v>-578.45433217425875</v>
      </c>
      <c r="N35" s="22">
        <f>SUM(N27:N34)*Assumptions!$C$30</f>
        <v>-592.91569047861515</v>
      </c>
      <c r="O35" s="22">
        <f>SUM(O27:O34)*Assumptions!$C$30</f>
        <v>-607.73858274058045</v>
      </c>
      <c r="P35" s="22">
        <f>SUM(P27:P34)*Assumptions!$C$30</f>
        <v>-622.93204730909508</v>
      </c>
      <c r="Q35" s="22">
        <f>SUM(Q27:Q34)*Assumptions!$C$30</f>
        <v>-638.50534849182225</v>
      </c>
      <c r="R35" s="22">
        <f>SUM(R27:R34)*Assumptions!$C$30</f>
        <v>-654.46798220411779</v>
      </c>
      <c r="S35" s="22">
        <f>SUM(S27:S34)*Assumptions!$C$30</f>
        <v>-670.82968175922076</v>
      </c>
      <c r="T35" s="22">
        <f>SUM(T27:T34)*Assumptions!$C$30</f>
        <v>-687.60042380320112</v>
      </c>
      <c r="U35" s="22">
        <f>SUM(U27:U34)*Assumptions!$C$30</f>
        <v>-704.79043439828126</v>
      </c>
      <c r="V35" s="22">
        <f>SUM(V27:V34)*Assumptions!$C$30</f>
        <v>-722.41019525823822</v>
      </c>
      <c r="W35" s="22">
        <f>SUM(W27:W34)*Assumptions!$C$30</f>
        <v>-740.47045013969421</v>
      </c>
      <c r="X35" s="22">
        <f>SUM(X27:X34)*Assumptions!$C$30</f>
        <v>-758.9822113931865</v>
      </c>
      <c r="Y35" s="22">
        <f>SUM(Y27:Y34)*Assumptions!$C$30</f>
        <v>-777.95676667801604</v>
      </c>
      <c r="Z35" s="22">
        <f>SUM(Z27:Z34)*Assumptions!$C$30</f>
        <v>-797.40568584496657</v>
      </c>
      <c r="AA35" s="22">
        <f>SUM(AA27:AA34)*Assumptions!$C$30</f>
        <v>-817.34082799109058</v>
      </c>
      <c r="AB35" s="22">
        <f>SUM(AB27:AB34)*Assumptions!$C$30</f>
        <v>-837.77434869086778</v>
      </c>
    </row>
    <row r="36" spans="2:28" x14ac:dyDescent="0.25">
      <c r="B36" s="1" t="s">
        <v>118</v>
      </c>
      <c r="C36" s="1"/>
      <c r="D36" s="23">
        <f t="shared" ref="D36:W36" si="4">SUM(D27:D35)</f>
        <v>-9726.8805849600012</v>
      </c>
      <c r="E36" s="23">
        <f t="shared" si="4"/>
        <v>-9970.052599583998</v>
      </c>
      <c r="F36" s="23">
        <f t="shared" si="4"/>
        <v>-10219.303914573598</v>
      </c>
      <c r="G36" s="23">
        <f t="shared" si="4"/>
        <v>-10474.78651243794</v>
      </c>
      <c r="H36" s="23">
        <f t="shared" si="4"/>
        <v>-10736.656175248885</v>
      </c>
      <c r="I36" s="23">
        <f t="shared" si="4"/>
        <v>-11005.072579630105</v>
      </c>
      <c r="J36" s="23">
        <f t="shared" si="4"/>
        <v>-11280.199394120858</v>
      </c>
      <c r="K36" s="23">
        <f t="shared" si="4"/>
        <v>-11562.204378973882</v>
      </c>
      <c r="L36" s="23">
        <f t="shared" si="4"/>
        <v>-11851.259488448226</v>
      </c>
      <c r="M36" s="23">
        <f t="shared" si="4"/>
        <v>-12147.540975659433</v>
      </c>
      <c r="N36" s="23">
        <f t="shared" si="4"/>
        <v>-12451.229500050918</v>
      </c>
      <c r="O36" s="23">
        <f t="shared" si="4"/>
        <v>-12762.510237552187</v>
      </c>
      <c r="P36" s="23">
        <f t="shared" si="4"/>
        <v>-13081.572993490996</v>
      </c>
      <c r="Q36" s="23">
        <f t="shared" si="4"/>
        <v>-13408.612318328267</v>
      </c>
      <c r="R36" s="23">
        <f t="shared" si="4"/>
        <v>-13743.827626286473</v>
      </c>
      <c r="S36" s="23">
        <f t="shared" si="4"/>
        <v>-14087.423316943634</v>
      </c>
      <c r="T36" s="23">
        <f t="shared" si="4"/>
        <v>-14439.608899867224</v>
      </c>
      <c r="U36" s="23">
        <f t="shared" si="4"/>
        <v>-14800.599122363905</v>
      </c>
      <c r="V36" s="23">
        <f t="shared" si="4"/>
        <v>-15170.614100423001</v>
      </c>
      <c r="W36" s="23">
        <f t="shared" si="4"/>
        <v>-15549.879452933577</v>
      </c>
      <c r="X36" s="23">
        <f>SUM(X27:X35)</f>
        <v>-15938.626439256916</v>
      </c>
      <c r="Y36" s="23">
        <f>SUM(Y27:Y35)</f>
        <v>-16337.092100238337</v>
      </c>
      <c r="Z36" s="23">
        <f>SUM(Z27:Z35)</f>
        <v>-16745.519402744296</v>
      </c>
      <c r="AA36" s="23">
        <f>SUM(AA27:AA35)</f>
        <v>-17164.157387812902</v>
      </c>
      <c r="AB36" s="23">
        <f>SUM(AB27:AB35)</f>
        <v>-17593.261322508224</v>
      </c>
    </row>
    <row r="37" spans="2:28" x14ac:dyDescent="0.25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2:28" x14ac:dyDescent="0.25">
      <c r="B38" s="24" t="s">
        <v>41</v>
      </c>
      <c r="C38" s="24"/>
      <c r="D38" s="25">
        <f t="shared" ref="D38:W38" si="5">D24+D36</f>
        <v>23038.602935039999</v>
      </c>
      <c r="E38" s="25">
        <f t="shared" si="5"/>
        <v>23614.568008415998</v>
      </c>
      <c r="F38" s="25">
        <f t="shared" si="5"/>
        <v>24204.932208626393</v>
      </c>
      <c r="G38" s="25">
        <f t="shared" si="5"/>
        <v>24810.055513842053</v>
      </c>
      <c r="H38" s="25">
        <f t="shared" si="5"/>
        <v>25430.306901688105</v>
      </c>
      <c r="I38" s="25">
        <f t="shared" si="5"/>
        <v>26066.06457423031</v>
      </c>
      <c r="J38" s="25">
        <f t="shared" si="5"/>
        <v>26717.716188586055</v>
      </c>
      <c r="K38" s="25">
        <f t="shared" si="5"/>
        <v>27385.659093300703</v>
      </c>
      <c r="L38" s="25">
        <f t="shared" si="5"/>
        <v>28070.300570633226</v>
      </c>
      <c r="M38" s="25">
        <f t="shared" si="5"/>
        <v>28772.05808489905</v>
      </c>
      <c r="N38" s="25">
        <f t="shared" si="5"/>
        <v>29491.359537021526</v>
      </c>
      <c r="O38" s="25">
        <f t="shared" si="5"/>
        <v>30228.643525447056</v>
      </c>
      <c r="P38" s="25">
        <f t="shared" si="5"/>
        <v>30984.359613583227</v>
      </c>
      <c r="Q38" s="25">
        <f t="shared" si="5"/>
        <v>31758.968603922804</v>
      </c>
      <c r="R38" s="25">
        <f t="shared" si="5"/>
        <v>32552.942819020878</v>
      </c>
      <c r="S38" s="25">
        <f t="shared" si="5"/>
        <v>33366.766389496399</v>
      </c>
      <c r="T38" s="25">
        <f t="shared" si="5"/>
        <v>34200.935549233807</v>
      </c>
      <c r="U38" s="25">
        <f t="shared" si="5"/>
        <v>35055.95893796465</v>
      </c>
      <c r="V38" s="25">
        <f t="shared" si="5"/>
        <v>35932.357911413768</v>
      </c>
      <c r="W38" s="25">
        <f t="shared" si="5"/>
        <v>36830.666859199097</v>
      </c>
      <c r="X38" s="25">
        <f>X24+X36</f>
        <v>37751.433530679074</v>
      </c>
      <c r="Y38" s="25">
        <f>Y24+Y36</f>
        <v>38695.219368946055</v>
      </c>
      <c r="Z38" s="25">
        <f>Z24+Z36</f>
        <v>39662.599853169697</v>
      </c>
      <c r="AA38" s="25">
        <f>AA24+AA36</f>
        <v>40654.164849498935</v>
      </c>
      <c r="AB38" s="25">
        <f>AB24+AB36</f>
        <v>41670.518970736404</v>
      </c>
    </row>
    <row r="39" spans="2:28" x14ac:dyDescent="0.25"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2:28" x14ac:dyDescent="0.25">
      <c r="B40" s="2" t="s">
        <v>42</v>
      </c>
      <c r="D40" s="20">
        <f>-Depreciation!E54</f>
        <v>-67731.145730769233</v>
      </c>
      <c r="E40" s="20">
        <f>-Depreciation!F54</f>
        <v>-108478.40228076922</v>
      </c>
      <c r="F40" s="20">
        <f>-Depreciation!G54</f>
        <v>-66002.640875769226</v>
      </c>
      <c r="G40" s="20">
        <f>-Depreciation!H54</f>
        <v>-40445.331020769227</v>
      </c>
      <c r="H40" s="20">
        <f>-Depreciation!I54</f>
        <v>-40247.735237769222</v>
      </c>
      <c r="I40" s="20">
        <f>-Depreciation!J54</f>
        <v>-21063.714227769229</v>
      </c>
      <c r="J40" s="20">
        <f>-Depreciation!K54</f>
        <v>-1974.6418407692304</v>
      </c>
      <c r="K40" s="20">
        <f>-Depreciation!L54</f>
        <v>-1974.6418407692304</v>
      </c>
      <c r="L40" s="20">
        <f>-Depreciation!M54</f>
        <v>-1977.2080197692303</v>
      </c>
      <c r="M40" s="20">
        <f>-Depreciation!N54</f>
        <v>-1974.6418407692304</v>
      </c>
      <c r="N40" s="20">
        <f>-Depreciation!O54</f>
        <v>-1977.2080197692303</v>
      </c>
      <c r="O40" s="20">
        <f>-Depreciation!P54</f>
        <v>-1974.6418407692304</v>
      </c>
      <c r="P40" s="20">
        <f>-Depreciation!Q54</f>
        <v>-1977.2080197692303</v>
      </c>
      <c r="Q40" s="20">
        <f>-Depreciation!R54</f>
        <v>-1974.6418407692304</v>
      </c>
      <c r="R40" s="20">
        <f>-Depreciation!S54</f>
        <v>-1977.2080197692303</v>
      </c>
      <c r="S40" s="20">
        <f>-Depreciation!T54</f>
        <v>-1217.6190357692305</v>
      </c>
      <c r="T40" s="20">
        <f>-Depreciation!U54</f>
        <v>-460.59623076923071</v>
      </c>
      <c r="U40" s="20">
        <f>-Depreciation!V54</f>
        <v>-460.59623076923071</v>
      </c>
      <c r="V40" s="20">
        <f>-Depreciation!W54</f>
        <v>-460.59623076923071</v>
      </c>
      <c r="W40" s="20">
        <f>-Depreciation!X54</f>
        <v>-460.59623076923071</v>
      </c>
      <c r="X40" s="20">
        <f>-Depreciation!Y54</f>
        <v>-93.999230769230749</v>
      </c>
      <c r="Y40" s="20">
        <f>-Depreciation!Z54</f>
        <v>-93.999230769230749</v>
      </c>
      <c r="Z40" s="20">
        <f>-Depreciation!AA54</f>
        <v>-93.999230769230749</v>
      </c>
      <c r="AA40" s="20">
        <f>-Depreciation!AB54</f>
        <v>-93.999230769230749</v>
      </c>
      <c r="AB40" s="20">
        <f>-Depreciation!AC54</f>
        <v>-93.999230769230749</v>
      </c>
    </row>
    <row r="41" spans="2:28" x14ac:dyDescent="0.25">
      <c r="B41" s="10"/>
      <c r="C41" s="10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</row>
    <row r="42" spans="2:28" x14ac:dyDescent="0.25">
      <c r="B42" s="28" t="s">
        <v>84</v>
      </c>
      <c r="C42" s="28"/>
      <c r="D42" s="25">
        <f t="shared" ref="D42:W42" si="6">D38+D40</f>
        <v>-44692.542795729234</v>
      </c>
      <c r="E42" s="25">
        <f t="shared" si="6"/>
        <v>-84863.834272353226</v>
      </c>
      <c r="F42" s="25">
        <f t="shared" si="6"/>
        <v>-41797.708667142833</v>
      </c>
      <c r="G42" s="25">
        <f t="shared" si="6"/>
        <v>-15635.275506927173</v>
      </c>
      <c r="H42" s="25">
        <f t="shared" si="6"/>
        <v>-14817.428336081117</v>
      </c>
      <c r="I42" s="25">
        <f t="shared" si="6"/>
        <v>5002.3503464610803</v>
      </c>
      <c r="J42" s="25">
        <f t="shared" si="6"/>
        <v>24743.074347816826</v>
      </c>
      <c r="K42" s="25">
        <f t="shared" si="6"/>
        <v>25411.017252531474</v>
      </c>
      <c r="L42" s="25">
        <f t="shared" si="6"/>
        <v>26093.092550863996</v>
      </c>
      <c r="M42" s="25">
        <f t="shared" si="6"/>
        <v>26797.416244129821</v>
      </c>
      <c r="N42" s="25">
        <f t="shared" si="6"/>
        <v>27514.151517252296</v>
      </c>
      <c r="O42" s="25">
        <f t="shared" si="6"/>
        <v>28254.001684677827</v>
      </c>
      <c r="P42" s="25">
        <f t="shared" si="6"/>
        <v>29007.151593813996</v>
      </c>
      <c r="Q42" s="25">
        <f t="shared" si="6"/>
        <v>29784.326763153575</v>
      </c>
      <c r="R42" s="25">
        <f t="shared" si="6"/>
        <v>30575.734799251648</v>
      </c>
      <c r="S42" s="25">
        <f t="shared" si="6"/>
        <v>32149.147353727167</v>
      </c>
      <c r="T42" s="25">
        <f t="shared" si="6"/>
        <v>33740.339318464576</v>
      </c>
      <c r="U42" s="25">
        <f t="shared" si="6"/>
        <v>34595.362707195418</v>
      </c>
      <c r="V42" s="25">
        <f t="shared" si="6"/>
        <v>35471.761680644537</v>
      </c>
      <c r="W42" s="25">
        <f t="shared" si="6"/>
        <v>36370.070628429865</v>
      </c>
      <c r="X42" s="25">
        <f>X38+X40</f>
        <v>37657.434299909844</v>
      </c>
      <c r="Y42" s="25">
        <f>Y38+Y40</f>
        <v>38601.220138176825</v>
      </c>
      <c r="Z42" s="25">
        <f>Z38+Z40</f>
        <v>39568.600622400467</v>
      </c>
      <c r="AA42" s="25">
        <f>AA38+AA40</f>
        <v>40560.165618729705</v>
      </c>
      <c r="AB42" s="25">
        <f>AB38+AB40</f>
        <v>41576.519739967174</v>
      </c>
    </row>
    <row r="43" spans="2:28" x14ac:dyDescent="0.25"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2:28" x14ac:dyDescent="0.25">
      <c r="B44" s="1" t="s">
        <v>208</v>
      </c>
      <c r="D44" s="89">
        <f t="shared" ref="D44:W44" si="7">ROUND((1+$D$10)^D19*$D$11,0)</f>
        <v>24</v>
      </c>
      <c r="E44" s="89">
        <f t="shared" si="7"/>
        <v>25</v>
      </c>
      <c r="F44" s="89">
        <f t="shared" si="7"/>
        <v>25</v>
      </c>
      <c r="G44" s="89">
        <f t="shared" si="7"/>
        <v>26</v>
      </c>
      <c r="H44" s="89">
        <f t="shared" si="7"/>
        <v>26</v>
      </c>
      <c r="I44" s="89">
        <f t="shared" si="7"/>
        <v>27</v>
      </c>
      <c r="J44" s="89">
        <f t="shared" si="7"/>
        <v>28</v>
      </c>
      <c r="K44" s="89">
        <f t="shared" si="7"/>
        <v>28</v>
      </c>
      <c r="L44" s="89">
        <f t="shared" si="7"/>
        <v>29</v>
      </c>
      <c r="M44" s="89">
        <f t="shared" si="7"/>
        <v>29</v>
      </c>
      <c r="N44" s="89">
        <f t="shared" si="7"/>
        <v>30</v>
      </c>
      <c r="O44" s="89">
        <f t="shared" si="7"/>
        <v>30</v>
      </c>
      <c r="P44" s="89">
        <f t="shared" si="7"/>
        <v>31</v>
      </c>
      <c r="Q44" s="89">
        <f t="shared" si="7"/>
        <v>32</v>
      </c>
      <c r="R44" s="89">
        <f t="shared" si="7"/>
        <v>32</v>
      </c>
      <c r="S44" s="89">
        <f t="shared" si="7"/>
        <v>33</v>
      </c>
      <c r="T44" s="89">
        <f t="shared" si="7"/>
        <v>34</v>
      </c>
      <c r="U44" s="89">
        <f t="shared" si="7"/>
        <v>34</v>
      </c>
      <c r="V44" s="89">
        <f t="shared" si="7"/>
        <v>35</v>
      </c>
      <c r="W44" s="89">
        <f t="shared" si="7"/>
        <v>36</v>
      </c>
      <c r="X44" s="89">
        <f>ROUND((1+$D$10)^X19*$D$11,0)</f>
        <v>36</v>
      </c>
      <c r="Y44" s="89">
        <f>ROUND((1+$D$10)^Y19*$D$11,0)</f>
        <v>37</v>
      </c>
      <c r="Z44" s="89">
        <f>ROUND((1+$D$10)^Z19*$D$11,0)</f>
        <v>38</v>
      </c>
      <c r="AA44" s="89">
        <f>ROUND((1+$D$10)^AA19*$D$11,0)</f>
        <v>39</v>
      </c>
      <c r="AB44" s="89">
        <f>ROUND((1+$D$10)^AB19*$D$11,0)</f>
        <v>39</v>
      </c>
    </row>
    <row r="45" spans="2:28" x14ac:dyDescent="0.25">
      <c r="B45" s="2" t="s">
        <v>83</v>
      </c>
      <c r="D45" s="21">
        <f t="shared" ref="D45:W45" si="8">IF(D19&lt;=10,D44*D22/1000,0)</f>
        <v>14297.665536</v>
      </c>
      <c r="E45" s="21">
        <f t="shared" si="8"/>
        <v>14893.401599999999</v>
      </c>
      <c r="F45" s="21">
        <f t="shared" si="8"/>
        <v>14893.401599999999</v>
      </c>
      <c r="G45" s="21">
        <f t="shared" si="8"/>
        <v>15489.137664000002</v>
      </c>
      <c r="H45" s="21">
        <f t="shared" si="8"/>
        <v>15489.137664000002</v>
      </c>
      <c r="I45" s="21">
        <f t="shared" si="8"/>
        <v>16084.873728</v>
      </c>
      <c r="J45" s="21">
        <f t="shared" si="8"/>
        <v>16680.609791999999</v>
      </c>
      <c r="K45" s="21">
        <f t="shared" si="8"/>
        <v>16680.609791999999</v>
      </c>
      <c r="L45" s="21">
        <f t="shared" si="8"/>
        <v>17276.345856</v>
      </c>
      <c r="M45" s="21">
        <f t="shared" si="8"/>
        <v>17276.345856</v>
      </c>
      <c r="N45" s="21">
        <f t="shared" si="8"/>
        <v>0</v>
      </c>
      <c r="O45" s="21">
        <f t="shared" si="8"/>
        <v>0</v>
      </c>
      <c r="P45" s="21">
        <f t="shared" si="8"/>
        <v>0</v>
      </c>
      <c r="Q45" s="21">
        <f t="shared" si="8"/>
        <v>0</v>
      </c>
      <c r="R45" s="21">
        <f t="shared" si="8"/>
        <v>0</v>
      </c>
      <c r="S45" s="21">
        <f t="shared" si="8"/>
        <v>0</v>
      </c>
      <c r="T45" s="21">
        <f t="shared" si="8"/>
        <v>0</v>
      </c>
      <c r="U45" s="21">
        <f t="shared" si="8"/>
        <v>0</v>
      </c>
      <c r="V45" s="21">
        <f t="shared" si="8"/>
        <v>0</v>
      </c>
      <c r="W45" s="21">
        <f t="shared" si="8"/>
        <v>0</v>
      </c>
      <c r="X45" s="21">
        <f>IF(X19&lt;=10,X44*X22/1000,0)</f>
        <v>0</v>
      </c>
      <c r="Y45" s="21">
        <f>IF(Y19&lt;=10,Y44*Y22/1000,0)</f>
        <v>0</v>
      </c>
      <c r="Z45" s="21">
        <f>IF(Z19&lt;=10,Z44*Z22/1000,0)</f>
        <v>0</v>
      </c>
      <c r="AA45" s="21">
        <f>IF(AA19&lt;=10,AA44*AA22/1000,0)</f>
        <v>0</v>
      </c>
      <c r="AB45" s="21">
        <f>IF(AB19&lt;=10,AB44*AB22/1000,0)</f>
        <v>0</v>
      </c>
    </row>
    <row r="46" spans="2:28" x14ac:dyDescent="0.25"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</row>
    <row r="47" spans="2:28" x14ac:dyDescent="0.25">
      <c r="B47" s="2" t="s">
        <v>85</v>
      </c>
      <c r="D47" s="86">
        <f t="shared" ref="D47:W47" si="9">IF(D19&lt;=$D$9,$N$4,$O$4)</f>
        <v>0.99</v>
      </c>
      <c r="E47" s="86">
        <f t="shared" si="9"/>
        <v>0.99</v>
      </c>
      <c r="F47" s="86">
        <f t="shared" si="9"/>
        <v>0.99</v>
      </c>
      <c r="G47" s="86">
        <f t="shared" si="9"/>
        <v>0.99</v>
      </c>
      <c r="H47" s="86">
        <f t="shared" si="9"/>
        <v>0.99</v>
      </c>
      <c r="I47" s="86">
        <f t="shared" si="9"/>
        <v>0.99</v>
      </c>
      <c r="J47" s="86">
        <f t="shared" si="9"/>
        <v>0.99</v>
      </c>
      <c r="K47" s="86">
        <f t="shared" si="9"/>
        <v>0.99</v>
      </c>
      <c r="L47" s="86">
        <f t="shared" si="9"/>
        <v>0.99</v>
      </c>
      <c r="M47" s="86">
        <f t="shared" si="9"/>
        <v>0.99</v>
      </c>
      <c r="N47" s="86">
        <f t="shared" si="9"/>
        <v>0.05</v>
      </c>
      <c r="O47" s="86">
        <f t="shared" si="9"/>
        <v>0.05</v>
      </c>
      <c r="P47" s="86">
        <f t="shared" si="9"/>
        <v>0.05</v>
      </c>
      <c r="Q47" s="86">
        <f t="shared" si="9"/>
        <v>0.05</v>
      </c>
      <c r="R47" s="86">
        <f t="shared" si="9"/>
        <v>0.05</v>
      </c>
      <c r="S47" s="86">
        <f t="shared" si="9"/>
        <v>0.05</v>
      </c>
      <c r="T47" s="86">
        <f t="shared" si="9"/>
        <v>0.05</v>
      </c>
      <c r="U47" s="86">
        <f t="shared" si="9"/>
        <v>0.05</v>
      </c>
      <c r="V47" s="86">
        <f t="shared" si="9"/>
        <v>0.05</v>
      </c>
      <c r="W47" s="86">
        <f t="shared" si="9"/>
        <v>0.05</v>
      </c>
      <c r="X47" s="86">
        <f>IF(X19&lt;=$D$9,$N$4,$O$4)</f>
        <v>0.05</v>
      </c>
      <c r="Y47" s="86">
        <f>IF(Y19&lt;=$D$9,$N$4,$O$4)</f>
        <v>0.05</v>
      </c>
      <c r="Z47" s="86">
        <f>IF(Z19&lt;=$D$9,$N$4,$O$4)</f>
        <v>0.05</v>
      </c>
      <c r="AA47" s="86">
        <f>IF(AA19&lt;=$D$9,$N$4,$O$4)</f>
        <v>0.05</v>
      </c>
      <c r="AB47" s="86">
        <f>IF(AB19&lt;=$D$9,$N$4,$O$4)</f>
        <v>0.05</v>
      </c>
    </row>
    <row r="48" spans="2:28" x14ac:dyDescent="0.25">
      <c r="B48" s="2" t="s">
        <v>87</v>
      </c>
      <c r="D48" s="86">
        <f t="shared" ref="D48:W48" si="10">1-D47</f>
        <v>1.0000000000000009E-2</v>
      </c>
      <c r="E48" s="86">
        <f t="shared" si="10"/>
        <v>1.0000000000000009E-2</v>
      </c>
      <c r="F48" s="86">
        <f t="shared" si="10"/>
        <v>1.0000000000000009E-2</v>
      </c>
      <c r="G48" s="86">
        <f t="shared" si="10"/>
        <v>1.0000000000000009E-2</v>
      </c>
      <c r="H48" s="86">
        <f t="shared" si="10"/>
        <v>1.0000000000000009E-2</v>
      </c>
      <c r="I48" s="86">
        <f t="shared" si="10"/>
        <v>1.0000000000000009E-2</v>
      </c>
      <c r="J48" s="86">
        <f t="shared" si="10"/>
        <v>1.0000000000000009E-2</v>
      </c>
      <c r="K48" s="86">
        <f t="shared" si="10"/>
        <v>1.0000000000000009E-2</v>
      </c>
      <c r="L48" s="86">
        <f t="shared" si="10"/>
        <v>1.0000000000000009E-2</v>
      </c>
      <c r="M48" s="86">
        <f t="shared" si="10"/>
        <v>1.0000000000000009E-2</v>
      </c>
      <c r="N48" s="86">
        <f t="shared" si="10"/>
        <v>0.95</v>
      </c>
      <c r="O48" s="86">
        <f t="shared" si="10"/>
        <v>0.95</v>
      </c>
      <c r="P48" s="86">
        <f t="shared" si="10"/>
        <v>0.95</v>
      </c>
      <c r="Q48" s="86">
        <f t="shared" si="10"/>
        <v>0.95</v>
      </c>
      <c r="R48" s="86">
        <f t="shared" si="10"/>
        <v>0.95</v>
      </c>
      <c r="S48" s="86">
        <f t="shared" si="10"/>
        <v>0.95</v>
      </c>
      <c r="T48" s="86">
        <f t="shared" si="10"/>
        <v>0.95</v>
      </c>
      <c r="U48" s="86">
        <f t="shared" si="10"/>
        <v>0.95</v>
      </c>
      <c r="V48" s="86">
        <f t="shared" si="10"/>
        <v>0.95</v>
      </c>
      <c r="W48" s="86">
        <f t="shared" si="10"/>
        <v>0.95</v>
      </c>
      <c r="X48" s="86">
        <f>1-X47</f>
        <v>0.95</v>
      </c>
      <c r="Y48" s="86">
        <f>1-Y47</f>
        <v>0.95</v>
      </c>
      <c r="Z48" s="86">
        <f>1-Z47</f>
        <v>0.95</v>
      </c>
      <c r="AA48" s="86">
        <f>1-AA47</f>
        <v>0.95</v>
      </c>
      <c r="AB48" s="86">
        <f>1-AB47</f>
        <v>0.95</v>
      </c>
    </row>
    <row r="49" spans="2:28" x14ac:dyDescent="0.25"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</row>
    <row r="50" spans="2:28" x14ac:dyDescent="0.25">
      <c r="B50" s="2" t="s">
        <v>88</v>
      </c>
      <c r="D50" s="86">
        <f t="shared" ref="D50:W50" si="11">IF(D19&lt;=$D$9,$L$4,$M$4)</f>
        <v>0.2</v>
      </c>
      <c r="E50" s="86">
        <f t="shared" si="11"/>
        <v>0.2</v>
      </c>
      <c r="F50" s="86">
        <f t="shared" si="11"/>
        <v>0.2</v>
      </c>
      <c r="G50" s="86">
        <f t="shared" si="11"/>
        <v>0.2</v>
      </c>
      <c r="H50" s="86">
        <f t="shared" si="11"/>
        <v>0.2</v>
      </c>
      <c r="I50" s="86">
        <f t="shared" si="11"/>
        <v>0.2</v>
      </c>
      <c r="J50" s="86">
        <f t="shared" si="11"/>
        <v>0.2</v>
      </c>
      <c r="K50" s="86">
        <f t="shared" si="11"/>
        <v>0.2</v>
      </c>
      <c r="L50" s="86">
        <f t="shared" si="11"/>
        <v>0.2</v>
      </c>
      <c r="M50" s="86">
        <f t="shared" si="11"/>
        <v>0.2</v>
      </c>
      <c r="N50" s="86">
        <f t="shared" si="11"/>
        <v>0.05</v>
      </c>
      <c r="O50" s="86">
        <f t="shared" si="11"/>
        <v>0.05</v>
      </c>
      <c r="P50" s="86">
        <f t="shared" si="11"/>
        <v>0.05</v>
      </c>
      <c r="Q50" s="86">
        <f t="shared" si="11"/>
        <v>0.05</v>
      </c>
      <c r="R50" s="86">
        <f t="shared" si="11"/>
        <v>0.05</v>
      </c>
      <c r="S50" s="86">
        <f t="shared" si="11"/>
        <v>0.05</v>
      </c>
      <c r="T50" s="86">
        <f t="shared" si="11"/>
        <v>0.05</v>
      </c>
      <c r="U50" s="86">
        <f t="shared" si="11"/>
        <v>0.05</v>
      </c>
      <c r="V50" s="86">
        <f t="shared" si="11"/>
        <v>0.05</v>
      </c>
      <c r="W50" s="86">
        <f t="shared" si="11"/>
        <v>0.05</v>
      </c>
      <c r="X50" s="86">
        <f>IF(X19&lt;=$D$9,$L$4,$M$4)</f>
        <v>0.05</v>
      </c>
      <c r="Y50" s="86">
        <f>IF(Y19&lt;=$D$9,$L$4,$M$4)</f>
        <v>0.05</v>
      </c>
      <c r="Z50" s="86">
        <f>IF(Z19&lt;=$D$9,$L$4,$M$4)</f>
        <v>0.05</v>
      </c>
      <c r="AA50" s="86">
        <f>IF(AA19&lt;=$D$9,$L$4,$M$4)</f>
        <v>0.05</v>
      </c>
      <c r="AB50" s="86">
        <f>IF(AB19&lt;=$D$9,$L$4,$M$4)</f>
        <v>0.05</v>
      </c>
    </row>
    <row r="51" spans="2:28" x14ac:dyDescent="0.25">
      <c r="B51" s="2" t="s">
        <v>89</v>
      </c>
      <c r="D51" s="87">
        <f t="shared" ref="D51:W51" si="12">1-D50</f>
        <v>0.8</v>
      </c>
      <c r="E51" s="87">
        <f t="shared" si="12"/>
        <v>0.8</v>
      </c>
      <c r="F51" s="87">
        <f t="shared" si="12"/>
        <v>0.8</v>
      </c>
      <c r="G51" s="87">
        <f t="shared" si="12"/>
        <v>0.8</v>
      </c>
      <c r="H51" s="87">
        <f t="shared" si="12"/>
        <v>0.8</v>
      </c>
      <c r="I51" s="87">
        <f t="shared" si="12"/>
        <v>0.8</v>
      </c>
      <c r="J51" s="87">
        <f t="shared" si="12"/>
        <v>0.8</v>
      </c>
      <c r="K51" s="87">
        <f t="shared" si="12"/>
        <v>0.8</v>
      </c>
      <c r="L51" s="87">
        <f t="shared" si="12"/>
        <v>0.8</v>
      </c>
      <c r="M51" s="87">
        <f t="shared" si="12"/>
        <v>0.8</v>
      </c>
      <c r="N51" s="87">
        <f t="shared" si="12"/>
        <v>0.95</v>
      </c>
      <c r="O51" s="87">
        <f t="shared" si="12"/>
        <v>0.95</v>
      </c>
      <c r="P51" s="87">
        <f t="shared" si="12"/>
        <v>0.95</v>
      </c>
      <c r="Q51" s="87">
        <f t="shared" si="12"/>
        <v>0.95</v>
      </c>
      <c r="R51" s="87">
        <f t="shared" si="12"/>
        <v>0.95</v>
      </c>
      <c r="S51" s="87">
        <f t="shared" si="12"/>
        <v>0.95</v>
      </c>
      <c r="T51" s="87">
        <f t="shared" si="12"/>
        <v>0.95</v>
      </c>
      <c r="U51" s="87">
        <f t="shared" si="12"/>
        <v>0.95</v>
      </c>
      <c r="V51" s="87">
        <f t="shared" si="12"/>
        <v>0.95</v>
      </c>
      <c r="W51" s="87">
        <f t="shared" si="12"/>
        <v>0.95</v>
      </c>
      <c r="X51" s="87">
        <f>1-X50</f>
        <v>0.95</v>
      </c>
      <c r="Y51" s="87">
        <f>1-Y50</f>
        <v>0.95</v>
      </c>
      <c r="Z51" s="87">
        <f>1-Z50</f>
        <v>0.95</v>
      </c>
      <c r="AA51" s="87">
        <f>1-AA50</f>
        <v>0.95</v>
      </c>
      <c r="AB51" s="87">
        <f>1-AB50</f>
        <v>0.95</v>
      </c>
    </row>
    <row r="52" spans="2:28" x14ac:dyDescent="0.25"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</row>
    <row r="53" spans="2:28" x14ac:dyDescent="0.25">
      <c r="B53" s="2" t="s">
        <v>200</v>
      </c>
      <c r="D53" s="21">
        <f t="shared" ref="D53:W53" si="13">D47*D42</f>
        <v>-44245.617367771942</v>
      </c>
      <c r="E53" s="21">
        <f t="shared" si="13"/>
        <v>-84015.195929629699</v>
      </c>
      <c r="F53" s="21">
        <f t="shared" si="13"/>
        <v>-41379.731580471402</v>
      </c>
      <c r="G53" s="21">
        <f t="shared" si="13"/>
        <v>-15478.922751857901</v>
      </c>
      <c r="H53" s="21">
        <f t="shared" si="13"/>
        <v>-14669.254052720305</v>
      </c>
      <c r="I53" s="21">
        <f t="shared" si="13"/>
        <v>4952.3268429964692</v>
      </c>
      <c r="J53" s="21">
        <f t="shared" si="13"/>
        <v>24495.643604338657</v>
      </c>
      <c r="K53" s="21">
        <f t="shared" si="13"/>
        <v>25156.90708000616</v>
      </c>
      <c r="L53" s="21">
        <f t="shared" si="13"/>
        <v>25832.161625355355</v>
      </c>
      <c r="M53" s="21">
        <f t="shared" si="13"/>
        <v>26529.442081688521</v>
      </c>
      <c r="N53" s="21">
        <f t="shared" si="13"/>
        <v>1375.7075758626149</v>
      </c>
      <c r="O53" s="21">
        <f t="shared" si="13"/>
        <v>1412.7000842338914</v>
      </c>
      <c r="P53" s="21">
        <f t="shared" si="13"/>
        <v>1450.3575796906998</v>
      </c>
      <c r="Q53" s="21">
        <f t="shared" si="13"/>
        <v>1489.2163381576788</v>
      </c>
      <c r="R53" s="21">
        <f t="shared" si="13"/>
        <v>1528.7867399625825</v>
      </c>
      <c r="S53" s="21">
        <f t="shared" si="13"/>
        <v>1607.4573676863583</v>
      </c>
      <c r="T53" s="21">
        <f t="shared" si="13"/>
        <v>1687.0169659232288</v>
      </c>
      <c r="U53" s="21">
        <f t="shared" si="13"/>
        <v>1729.7681353597709</v>
      </c>
      <c r="V53" s="21">
        <f t="shared" si="13"/>
        <v>1773.588084032227</v>
      </c>
      <c r="W53" s="21">
        <f t="shared" si="13"/>
        <v>1818.5035314214933</v>
      </c>
      <c r="X53" s="21">
        <f>X47*X42</f>
        <v>1882.8717149954923</v>
      </c>
      <c r="Y53" s="21">
        <f>Y47*Y42</f>
        <v>1930.0610069088414</v>
      </c>
      <c r="Z53" s="21">
        <f>Z47*Z42</f>
        <v>1978.4300311200234</v>
      </c>
      <c r="AA53" s="21">
        <f>AA47*AA42</f>
        <v>2028.0082809364853</v>
      </c>
      <c r="AB53" s="21">
        <f>AB47*AB42</f>
        <v>2078.825986998359</v>
      </c>
    </row>
    <row r="54" spans="2:28" x14ac:dyDescent="0.25">
      <c r="B54" s="2" t="s">
        <v>201</v>
      </c>
      <c r="D54" s="21">
        <f t="shared" ref="D54:W54" si="14">D42*D48</f>
        <v>-446.92542795729275</v>
      </c>
      <c r="E54" s="21">
        <f t="shared" si="14"/>
        <v>-848.63834272353301</v>
      </c>
      <c r="F54" s="21">
        <f t="shared" si="14"/>
        <v>-417.97708667142871</v>
      </c>
      <c r="G54" s="21">
        <f t="shared" si="14"/>
        <v>-156.35275506927186</v>
      </c>
      <c r="H54" s="21">
        <f t="shared" si="14"/>
        <v>-148.1742833608113</v>
      </c>
      <c r="I54" s="21">
        <f t="shared" si="14"/>
        <v>50.023503464610847</v>
      </c>
      <c r="J54" s="21">
        <f t="shared" si="14"/>
        <v>247.43074347816847</v>
      </c>
      <c r="K54" s="21">
        <f t="shared" si="14"/>
        <v>254.11017252531497</v>
      </c>
      <c r="L54" s="21">
        <f t="shared" si="14"/>
        <v>260.9309255086402</v>
      </c>
      <c r="M54" s="21">
        <f t="shared" si="14"/>
        <v>267.97416244129846</v>
      </c>
      <c r="N54" s="21">
        <f t="shared" si="14"/>
        <v>26138.44394138968</v>
      </c>
      <c r="O54" s="21">
        <f t="shared" si="14"/>
        <v>26841.301600443934</v>
      </c>
      <c r="P54" s="21">
        <f t="shared" si="14"/>
        <v>27556.794014123294</v>
      </c>
      <c r="Q54" s="21">
        <f t="shared" si="14"/>
        <v>28295.110424995895</v>
      </c>
      <c r="R54" s="21">
        <f t="shared" si="14"/>
        <v>29046.948059289065</v>
      </c>
      <c r="S54" s="21">
        <f t="shared" si="14"/>
        <v>30541.689986040808</v>
      </c>
      <c r="T54" s="21">
        <f t="shared" si="14"/>
        <v>32053.322352541345</v>
      </c>
      <c r="U54" s="21">
        <f t="shared" si="14"/>
        <v>32865.594571835645</v>
      </c>
      <c r="V54" s="21">
        <f t="shared" si="14"/>
        <v>33698.173596612309</v>
      </c>
      <c r="W54" s="21">
        <f t="shared" si="14"/>
        <v>34551.567097008367</v>
      </c>
      <c r="X54" s="21">
        <f>X42*X48</f>
        <v>35774.562584914347</v>
      </c>
      <c r="Y54" s="21">
        <f>Y42*Y48</f>
        <v>36671.159131267981</v>
      </c>
      <c r="Z54" s="21">
        <f>Z42*Z48</f>
        <v>37590.170591280439</v>
      </c>
      <c r="AA54" s="21">
        <f>AA42*AA48</f>
        <v>38532.157337793215</v>
      </c>
      <c r="AB54" s="21">
        <f>AB42*AB48</f>
        <v>39497.693752968815</v>
      </c>
    </row>
    <row r="56" spans="2:28" x14ac:dyDescent="0.25">
      <c r="B56" s="38" t="s">
        <v>94</v>
      </c>
      <c r="C56" s="39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</row>
    <row r="58" spans="2:28" x14ac:dyDescent="0.25">
      <c r="B58" s="2" t="s">
        <v>95</v>
      </c>
      <c r="D58" s="21">
        <f t="shared" ref="D58:AA58" si="15">D50*D38</f>
        <v>4607.7205870079997</v>
      </c>
      <c r="E58" s="21">
        <f t="shared" si="15"/>
        <v>4722.9136016831999</v>
      </c>
      <c r="F58" s="21">
        <f t="shared" si="15"/>
        <v>4840.9864417252784</v>
      </c>
      <c r="G58" s="21">
        <f t="shared" si="15"/>
        <v>4962.0111027684106</v>
      </c>
      <c r="H58" s="21">
        <f t="shared" si="15"/>
        <v>5086.0613803376218</v>
      </c>
      <c r="I58" s="21">
        <f t="shared" si="15"/>
        <v>5213.2129148460626</v>
      </c>
      <c r="J58" s="21">
        <f t="shared" si="15"/>
        <v>5343.543237717211</v>
      </c>
      <c r="K58" s="21">
        <f t="shared" si="15"/>
        <v>5477.1318186601411</v>
      </c>
      <c r="L58" s="21">
        <f t="shared" si="15"/>
        <v>5614.0601141266452</v>
      </c>
      <c r="M58" s="21">
        <f t="shared" si="15"/>
        <v>5754.4116169798108</v>
      </c>
      <c r="N58" s="21">
        <f t="shared" si="15"/>
        <v>1474.5679768510763</v>
      </c>
      <c r="O58" s="21">
        <f t="shared" si="15"/>
        <v>1511.432176272353</v>
      </c>
      <c r="P58" s="21">
        <f t="shared" si="15"/>
        <v>1549.2179806791614</v>
      </c>
      <c r="Q58" s="21">
        <f t="shared" si="15"/>
        <v>1587.9484301961402</v>
      </c>
      <c r="R58" s="21">
        <f t="shared" si="15"/>
        <v>1627.6471409510441</v>
      </c>
      <c r="S58" s="21">
        <f t="shared" si="15"/>
        <v>1668.3383194748201</v>
      </c>
      <c r="T58" s="21">
        <f t="shared" si="15"/>
        <v>1710.0467774616905</v>
      </c>
      <c r="U58" s="21">
        <f t="shared" si="15"/>
        <v>1752.7979468982326</v>
      </c>
      <c r="V58" s="21">
        <f t="shared" si="15"/>
        <v>1796.6178955706885</v>
      </c>
      <c r="W58" s="21">
        <f t="shared" si="15"/>
        <v>1841.533342959955</v>
      </c>
      <c r="X58" s="21">
        <f t="shared" si="15"/>
        <v>1887.5716765339539</v>
      </c>
      <c r="Y58" s="21">
        <f t="shared" si="15"/>
        <v>1934.7609684473027</v>
      </c>
      <c r="Z58" s="21">
        <f t="shared" si="15"/>
        <v>1983.129992658485</v>
      </c>
      <c r="AA58" s="21">
        <f t="shared" si="15"/>
        <v>2032.7082424749469</v>
      </c>
      <c r="AB58" s="21">
        <f t="shared" ref="AB58" si="16">AB50*AB38</f>
        <v>2083.5259485368201</v>
      </c>
    </row>
    <row r="59" spans="2:28" x14ac:dyDescent="0.25">
      <c r="B59" s="2" t="s">
        <v>96</v>
      </c>
      <c r="D59" s="21">
        <f t="shared" ref="D59:AA59" si="17">-D53*$D$7</f>
        <v>9291.5796472321072</v>
      </c>
      <c r="E59" s="21">
        <f t="shared" si="17"/>
        <v>17643.191145222238</v>
      </c>
      <c r="F59" s="21">
        <f t="shared" si="17"/>
        <v>8689.7436318989949</v>
      </c>
      <c r="G59" s="21">
        <f t="shared" si="17"/>
        <v>3250.5737778901589</v>
      </c>
      <c r="H59" s="21">
        <f t="shared" si="17"/>
        <v>3080.5433510712642</v>
      </c>
      <c r="I59" s="21">
        <f t="shared" si="17"/>
        <v>-1039.9886370292586</v>
      </c>
      <c r="J59" s="21">
        <f t="shared" si="17"/>
        <v>-5144.0851569111173</v>
      </c>
      <c r="K59" s="21">
        <f t="shared" si="17"/>
        <v>-5282.9504868012937</v>
      </c>
      <c r="L59" s="21">
        <f t="shared" si="17"/>
        <v>-5424.7539413246241</v>
      </c>
      <c r="M59" s="21">
        <f t="shared" si="17"/>
        <v>-5571.1828371545889</v>
      </c>
      <c r="N59" s="21">
        <f t="shared" si="17"/>
        <v>-288.8985909311491</v>
      </c>
      <c r="O59" s="21">
        <f t="shared" si="17"/>
        <v>-296.66701768911719</v>
      </c>
      <c r="P59" s="21">
        <f t="shared" si="17"/>
        <v>-304.57509173504695</v>
      </c>
      <c r="Q59" s="21">
        <f t="shared" si="17"/>
        <v>-312.73543101311253</v>
      </c>
      <c r="R59" s="21">
        <f t="shared" si="17"/>
        <v>-321.04521539214232</v>
      </c>
      <c r="S59" s="21">
        <f t="shared" si="17"/>
        <v>-337.56604721413521</v>
      </c>
      <c r="T59" s="21">
        <f t="shared" si="17"/>
        <v>-354.27356284387804</v>
      </c>
      <c r="U59" s="21">
        <f t="shared" si="17"/>
        <v>-363.25130842555188</v>
      </c>
      <c r="V59" s="21">
        <f t="shared" si="17"/>
        <v>-372.45349764676769</v>
      </c>
      <c r="W59" s="21">
        <f t="shared" si="17"/>
        <v>-381.88574159851356</v>
      </c>
      <c r="X59" s="21">
        <f t="shared" si="17"/>
        <v>-395.40306014905337</v>
      </c>
      <c r="Y59" s="21">
        <f t="shared" si="17"/>
        <v>-405.31281145085666</v>
      </c>
      <c r="Z59" s="21">
        <f t="shared" si="17"/>
        <v>-415.47030653520488</v>
      </c>
      <c r="AA59" s="21">
        <f t="shared" si="17"/>
        <v>-425.88173899666191</v>
      </c>
      <c r="AB59" s="21">
        <f t="shared" ref="AB59" si="18">-AB53*$D$7</f>
        <v>-436.55345726965538</v>
      </c>
    </row>
    <row r="60" spans="2:28" x14ac:dyDescent="0.25">
      <c r="B60" s="2" t="s">
        <v>97</v>
      </c>
      <c r="D60" s="21">
        <f t="shared" ref="D60:AA60" si="19">D47*D45</f>
        <v>14154.68888064</v>
      </c>
      <c r="E60" s="21">
        <f t="shared" si="19"/>
        <v>14744.467584</v>
      </c>
      <c r="F60" s="21">
        <f t="shared" si="19"/>
        <v>14744.467584</v>
      </c>
      <c r="G60" s="21">
        <f t="shared" si="19"/>
        <v>15334.246287360002</v>
      </c>
      <c r="H60" s="21">
        <f t="shared" si="19"/>
        <v>15334.246287360002</v>
      </c>
      <c r="I60" s="21">
        <f t="shared" si="19"/>
        <v>15924.02499072</v>
      </c>
      <c r="J60" s="21">
        <f t="shared" si="19"/>
        <v>16513.803694079998</v>
      </c>
      <c r="K60" s="21">
        <f t="shared" si="19"/>
        <v>16513.803694079998</v>
      </c>
      <c r="L60" s="21">
        <f t="shared" si="19"/>
        <v>17103.582397440001</v>
      </c>
      <c r="M60" s="21">
        <f t="shared" si="19"/>
        <v>17103.582397440001</v>
      </c>
      <c r="N60" s="21">
        <f t="shared" si="19"/>
        <v>0</v>
      </c>
      <c r="O60" s="21">
        <f t="shared" si="19"/>
        <v>0</v>
      </c>
      <c r="P60" s="21">
        <f t="shared" si="19"/>
        <v>0</v>
      </c>
      <c r="Q60" s="21">
        <f t="shared" si="19"/>
        <v>0</v>
      </c>
      <c r="R60" s="21">
        <f t="shared" si="19"/>
        <v>0</v>
      </c>
      <c r="S60" s="21">
        <f t="shared" si="19"/>
        <v>0</v>
      </c>
      <c r="T60" s="21">
        <f t="shared" si="19"/>
        <v>0</v>
      </c>
      <c r="U60" s="21">
        <f t="shared" si="19"/>
        <v>0</v>
      </c>
      <c r="V60" s="21">
        <f t="shared" si="19"/>
        <v>0</v>
      </c>
      <c r="W60" s="21">
        <f t="shared" si="19"/>
        <v>0</v>
      </c>
      <c r="X60" s="21">
        <f t="shared" si="19"/>
        <v>0</v>
      </c>
      <c r="Y60" s="21">
        <f t="shared" si="19"/>
        <v>0</v>
      </c>
      <c r="Z60" s="21">
        <f t="shared" si="19"/>
        <v>0</v>
      </c>
      <c r="AA60" s="21">
        <f t="shared" si="19"/>
        <v>0</v>
      </c>
      <c r="AB60" s="21">
        <f t="shared" ref="AB60" si="20">AB47*AB45</f>
        <v>0</v>
      </c>
    </row>
    <row r="61" spans="2:28" x14ac:dyDescent="0.25">
      <c r="B61" s="2" t="s">
        <v>98</v>
      </c>
      <c r="C61" s="88">
        <f>-C63</f>
        <v>-171568.78209687411</v>
      </c>
      <c r="D61" s="21">
        <f t="shared" ref="D61:W61" si="21">SUM(D58:D60)</f>
        <v>28053.989114880107</v>
      </c>
      <c r="E61" s="21">
        <f t="shared" si="21"/>
        <v>37110.572330905437</v>
      </c>
      <c r="F61" s="21">
        <f t="shared" si="21"/>
        <v>28275.197657624274</v>
      </c>
      <c r="G61" s="21">
        <f t="shared" si="21"/>
        <v>23546.831168018572</v>
      </c>
      <c r="H61" s="21">
        <f t="shared" si="21"/>
        <v>23500.851018768888</v>
      </c>
      <c r="I61" s="21">
        <f t="shared" si="21"/>
        <v>20097.249268536805</v>
      </c>
      <c r="J61" s="21">
        <f t="shared" si="21"/>
        <v>16713.26177488609</v>
      </c>
      <c r="K61" s="21">
        <f t="shared" si="21"/>
        <v>16707.985025938844</v>
      </c>
      <c r="L61" s="21">
        <f t="shared" si="21"/>
        <v>17292.888570242023</v>
      </c>
      <c r="M61" s="21">
        <f t="shared" si="21"/>
        <v>17286.811177265223</v>
      </c>
      <c r="N61" s="21">
        <f t="shared" si="21"/>
        <v>1185.6693859199272</v>
      </c>
      <c r="O61" s="21">
        <f t="shared" si="21"/>
        <v>1214.7651585832359</v>
      </c>
      <c r="P61" s="21">
        <f t="shared" si="21"/>
        <v>1244.6428889441145</v>
      </c>
      <c r="Q61" s="21">
        <f t="shared" si="21"/>
        <v>1275.2129991830277</v>
      </c>
      <c r="R61" s="21">
        <f t="shared" si="21"/>
        <v>1306.6019255589017</v>
      </c>
      <c r="S61" s="21">
        <f t="shared" si="21"/>
        <v>1330.772272260685</v>
      </c>
      <c r="T61" s="21">
        <f t="shared" si="21"/>
        <v>1355.7732146178123</v>
      </c>
      <c r="U61" s="21">
        <f t="shared" si="21"/>
        <v>1389.5466384726806</v>
      </c>
      <c r="V61" s="21">
        <f t="shared" si="21"/>
        <v>1424.1643979239207</v>
      </c>
      <c r="W61" s="21">
        <f t="shared" si="21"/>
        <v>1459.6476013614415</v>
      </c>
      <c r="X61" s="21">
        <f>SUM(X58:X60)</f>
        <v>1492.1686163849006</v>
      </c>
      <c r="Y61" s="21">
        <f>SUM(Y58:Y60)</f>
        <v>1529.448156996446</v>
      </c>
      <c r="Z61" s="21">
        <f>SUM(Z58:Z60)</f>
        <v>1567.6596861232802</v>
      </c>
      <c r="AA61" s="21">
        <f>SUM(AA58:AA60)</f>
        <v>1606.8265034782851</v>
      </c>
      <c r="AB61" s="21">
        <f>SUM(AB58:AB60)</f>
        <v>1646.9724912671647</v>
      </c>
    </row>
    <row r="63" spans="2:28" x14ac:dyDescent="0.25">
      <c r="B63" s="2" t="s">
        <v>99</v>
      </c>
      <c r="C63" s="21">
        <f>NPV($D$12,D61:M61)</f>
        <v>171568.78209687411</v>
      </c>
    </row>
    <row r="65" spans="2:28" x14ac:dyDescent="0.25">
      <c r="B65" s="38" t="s">
        <v>104</v>
      </c>
      <c r="C65" s="39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</row>
    <row r="67" spans="2:28" x14ac:dyDescent="0.25">
      <c r="B67" s="2" t="s">
        <v>95</v>
      </c>
      <c r="D67" s="21">
        <f t="shared" ref="D67:AA67" si="22">D38*D51</f>
        <v>18430.882348031999</v>
      </c>
      <c r="E67" s="21">
        <f t="shared" si="22"/>
        <v>18891.6544067328</v>
      </c>
      <c r="F67" s="21">
        <f t="shared" si="22"/>
        <v>19363.945766901114</v>
      </c>
      <c r="G67" s="21">
        <f t="shared" si="22"/>
        <v>19848.044411073643</v>
      </c>
      <c r="H67" s="21">
        <f t="shared" si="22"/>
        <v>20344.245521350487</v>
      </c>
      <c r="I67" s="21">
        <f t="shared" si="22"/>
        <v>20852.851659384251</v>
      </c>
      <c r="J67" s="21">
        <f t="shared" si="22"/>
        <v>21374.172950868844</v>
      </c>
      <c r="K67" s="21">
        <f t="shared" si="22"/>
        <v>21908.527274640564</v>
      </c>
      <c r="L67" s="21">
        <f t="shared" si="22"/>
        <v>22456.240456506581</v>
      </c>
      <c r="M67" s="21">
        <f t="shared" si="22"/>
        <v>23017.646467919243</v>
      </c>
      <c r="N67" s="21">
        <f t="shared" si="22"/>
        <v>28016.791560170448</v>
      </c>
      <c r="O67" s="21">
        <f t="shared" si="22"/>
        <v>28717.2113491747</v>
      </c>
      <c r="P67" s="21">
        <f t="shared" si="22"/>
        <v>29435.141632904066</v>
      </c>
      <c r="Q67" s="21">
        <f t="shared" si="22"/>
        <v>30171.020173726662</v>
      </c>
      <c r="R67" s="21">
        <f t="shared" si="22"/>
        <v>30925.295678069833</v>
      </c>
      <c r="S67" s="21">
        <f t="shared" si="22"/>
        <v>31698.428070021579</v>
      </c>
      <c r="T67" s="21">
        <f t="shared" si="22"/>
        <v>32490.888771772115</v>
      </c>
      <c r="U67" s="21">
        <f t="shared" si="22"/>
        <v>33303.160991066412</v>
      </c>
      <c r="V67" s="21">
        <f t="shared" si="22"/>
        <v>34135.740015843076</v>
      </c>
      <c r="W67" s="21">
        <f t="shared" si="22"/>
        <v>34989.133516239141</v>
      </c>
      <c r="X67" s="21">
        <f t="shared" si="22"/>
        <v>35863.861854145121</v>
      </c>
      <c r="Y67" s="21">
        <f t="shared" si="22"/>
        <v>36760.458400498748</v>
      </c>
      <c r="Z67" s="21">
        <f t="shared" si="22"/>
        <v>37679.469860511213</v>
      </c>
      <c r="AA67" s="21">
        <f t="shared" si="22"/>
        <v>38621.456607023989</v>
      </c>
      <c r="AB67" s="21">
        <f t="shared" ref="AB67" si="23">AB38*AB51</f>
        <v>39586.993022199582</v>
      </c>
    </row>
    <row r="68" spans="2:28" x14ac:dyDescent="0.25">
      <c r="B68" s="2" t="s">
        <v>96</v>
      </c>
      <c r="D68" s="21">
        <f t="shared" ref="D68:AA68" si="24">-D54*$D$7</f>
        <v>93.85433987103147</v>
      </c>
      <c r="E68" s="21">
        <f t="shared" si="24"/>
        <v>178.21405197194193</v>
      </c>
      <c r="F68" s="21">
        <f t="shared" si="24"/>
        <v>87.77518820100002</v>
      </c>
      <c r="G68" s="21">
        <f t="shared" si="24"/>
        <v>32.834078564547092</v>
      </c>
      <c r="H68" s="21">
        <f t="shared" si="24"/>
        <v>31.116599505770374</v>
      </c>
      <c r="I68" s="21">
        <f t="shared" si="24"/>
        <v>-10.504935727568277</v>
      </c>
      <c r="J68" s="21">
        <f t="shared" si="24"/>
        <v>-51.960456130415373</v>
      </c>
      <c r="K68" s="21">
        <f t="shared" si="24"/>
        <v>-53.363136230316144</v>
      </c>
      <c r="L68" s="21">
        <f t="shared" si="24"/>
        <v>-54.795494356814437</v>
      </c>
      <c r="M68" s="21">
        <f t="shared" si="24"/>
        <v>-56.274574112672674</v>
      </c>
      <c r="N68" s="21">
        <f t="shared" si="24"/>
        <v>-5489.0732276918325</v>
      </c>
      <c r="O68" s="21">
        <f t="shared" si="24"/>
        <v>-5636.6733360932258</v>
      </c>
      <c r="P68" s="21">
        <f t="shared" si="24"/>
        <v>-5786.9267429658912</v>
      </c>
      <c r="Q68" s="21">
        <f t="shared" si="24"/>
        <v>-5941.9731892491382</v>
      </c>
      <c r="R68" s="21">
        <f t="shared" si="24"/>
        <v>-6099.8590924507034</v>
      </c>
      <c r="S68" s="21">
        <f t="shared" si="24"/>
        <v>-6413.7548970685693</v>
      </c>
      <c r="T68" s="21">
        <f t="shared" si="24"/>
        <v>-6731.1976940336826</v>
      </c>
      <c r="U68" s="21">
        <f t="shared" si="24"/>
        <v>-6901.7748600854857</v>
      </c>
      <c r="V68" s="21">
        <f t="shared" si="24"/>
        <v>-7076.6164552885848</v>
      </c>
      <c r="W68" s="21">
        <f t="shared" si="24"/>
        <v>-7255.829090371757</v>
      </c>
      <c r="X68" s="21">
        <f t="shared" si="24"/>
        <v>-7512.6581428320123</v>
      </c>
      <c r="Y68" s="21">
        <f t="shared" si="24"/>
        <v>-7700.9434175662755</v>
      </c>
      <c r="Z68" s="21">
        <f t="shared" si="24"/>
        <v>-7893.9358241688915</v>
      </c>
      <c r="AA68" s="21">
        <f t="shared" si="24"/>
        <v>-8091.7530409365745</v>
      </c>
      <c r="AB68" s="21">
        <f t="shared" ref="AB68" si="25">-AB54*$D$7</f>
        <v>-8294.5156881234507</v>
      </c>
    </row>
    <row r="69" spans="2:28" x14ac:dyDescent="0.25">
      <c r="B69" s="2" t="s">
        <v>97</v>
      </c>
      <c r="D69" s="21">
        <f t="shared" ref="D69:AA69" si="26">D48*D45</f>
        <v>142.97665536000014</v>
      </c>
      <c r="E69" s="21">
        <f t="shared" si="26"/>
        <v>148.93401600000013</v>
      </c>
      <c r="F69" s="21">
        <f t="shared" si="26"/>
        <v>148.93401600000013</v>
      </c>
      <c r="G69" s="21">
        <f t="shared" si="26"/>
        <v>154.89137664000015</v>
      </c>
      <c r="H69" s="21">
        <f t="shared" si="26"/>
        <v>154.89137664000015</v>
      </c>
      <c r="I69" s="21">
        <f t="shared" si="26"/>
        <v>160.84873728000014</v>
      </c>
      <c r="J69" s="21">
        <f t="shared" si="26"/>
        <v>166.80609792000013</v>
      </c>
      <c r="K69" s="21">
        <f t="shared" si="26"/>
        <v>166.80609792000013</v>
      </c>
      <c r="L69" s="21">
        <f t="shared" si="26"/>
        <v>172.76345856000015</v>
      </c>
      <c r="M69" s="21">
        <f t="shared" si="26"/>
        <v>172.76345856000015</v>
      </c>
      <c r="N69" s="21">
        <f t="shared" si="26"/>
        <v>0</v>
      </c>
      <c r="O69" s="21">
        <f t="shared" si="26"/>
        <v>0</v>
      </c>
      <c r="P69" s="21">
        <f t="shared" si="26"/>
        <v>0</v>
      </c>
      <c r="Q69" s="21">
        <f t="shared" si="26"/>
        <v>0</v>
      </c>
      <c r="R69" s="21">
        <f t="shared" si="26"/>
        <v>0</v>
      </c>
      <c r="S69" s="21">
        <f t="shared" si="26"/>
        <v>0</v>
      </c>
      <c r="T69" s="21">
        <f t="shared" si="26"/>
        <v>0</v>
      </c>
      <c r="U69" s="21">
        <f t="shared" si="26"/>
        <v>0</v>
      </c>
      <c r="V69" s="21">
        <f t="shared" si="26"/>
        <v>0</v>
      </c>
      <c r="W69" s="21">
        <f t="shared" si="26"/>
        <v>0</v>
      </c>
      <c r="X69" s="21">
        <f t="shared" si="26"/>
        <v>0</v>
      </c>
      <c r="Y69" s="21">
        <f t="shared" si="26"/>
        <v>0</v>
      </c>
      <c r="Z69" s="21">
        <f t="shared" si="26"/>
        <v>0</v>
      </c>
      <c r="AA69" s="21">
        <f t="shared" si="26"/>
        <v>0</v>
      </c>
      <c r="AB69" s="21">
        <f t="shared" ref="AB69" si="27">AB48*AB45</f>
        <v>0</v>
      </c>
    </row>
    <row r="70" spans="2:28" x14ac:dyDescent="0.25">
      <c r="B70" s="2" t="s">
        <v>98</v>
      </c>
      <c r="D70" s="21">
        <f t="shared" ref="D70:W70" si="28">SUM(D67:D69)</f>
        <v>18667.713343263029</v>
      </c>
      <c r="E70" s="21">
        <f t="shared" si="28"/>
        <v>19218.802474704742</v>
      </c>
      <c r="F70" s="21">
        <f t="shared" si="28"/>
        <v>19600.654971102114</v>
      </c>
      <c r="G70" s="21">
        <f t="shared" si="28"/>
        <v>20035.769866278191</v>
      </c>
      <c r="H70" s="21">
        <f t="shared" si="28"/>
        <v>20530.253497496258</v>
      </c>
      <c r="I70" s="21">
        <f t="shared" si="28"/>
        <v>21003.195460936684</v>
      </c>
      <c r="J70" s="21">
        <f t="shared" si="28"/>
        <v>21489.018592658431</v>
      </c>
      <c r="K70" s="21">
        <f t="shared" si="28"/>
        <v>22021.970236330249</v>
      </c>
      <c r="L70" s="21">
        <f t="shared" si="28"/>
        <v>22574.208420709765</v>
      </c>
      <c r="M70" s="21">
        <f t="shared" si="28"/>
        <v>23134.135352366571</v>
      </c>
      <c r="N70" s="21">
        <f t="shared" si="28"/>
        <v>22527.718332478617</v>
      </c>
      <c r="O70" s="21">
        <f t="shared" si="28"/>
        <v>23080.538013081474</v>
      </c>
      <c r="P70" s="21">
        <f t="shared" si="28"/>
        <v>23648.214889938175</v>
      </c>
      <c r="Q70" s="21">
        <f t="shared" si="28"/>
        <v>24229.046984477522</v>
      </c>
      <c r="R70" s="21">
        <f t="shared" si="28"/>
        <v>24825.436585619129</v>
      </c>
      <c r="S70" s="21">
        <f t="shared" si="28"/>
        <v>25284.673172953007</v>
      </c>
      <c r="T70" s="21">
        <f t="shared" si="28"/>
        <v>25759.691077738433</v>
      </c>
      <c r="U70" s="21">
        <f t="shared" si="28"/>
        <v>26401.386130980925</v>
      </c>
      <c r="V70" s="21">
        <f t="shared" si="28"/>
        <v>27059.12356055449</v>
      </c>
      <c r="W70" s="21">
        <f t="shared" si="28"/>
        <v>27733.304425867384</v>
      </c>
      <c r="X70" s="21">
        <f>SUM(X67:X69)</f>
        <v>28351.203711313108</v>
      </c>
      <c r="Y70" s="21">
        <f>SUM(Y67:Y69)</f>
        <v>29059.514982932473</v>
      </c>
      <c r="Z70" s="21">
        <f>SUM(Z67:Z69)</f>
        <v>29785.534036342324</v>
      </c>
      <c r="AA70" s="21">
        <f>SUM(AA67:AA69)</f>
        <v>30529.703566087413</v>
      </c>
      <c r="AB70" s="21">
        <f>SUM(AB67:AB69)</f>
        <v>31292.477334076131</v>
      </c>
    </row>
    <row r="72" spans="2:28" x14ac:dyDescent="0.25">
      <c r="B72" s="2" t="s">
        <v>242</v>
      </c>
      <c r="C72" s="158">
        <f>Depreciation!C12</f>
        <v>195028.21790312583</v>
      </c>
    </row>
    <row r="74" spans="2:28" x14ac:dyDescent="0.25">
      <c r="B74" s="38" t="s">
        <v>241</v>
      </c>
      <c r="C74" s="39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</row>
    <row r="76" spans="2:28" x14ac:dyDescent="0.25">
      <c r="B76" s="2" t="s">
        <v>106</v>
      </c>
      <c r="D76" s="20">
        <f t="shared" ref="D76:W76" si="29">D67</f>
        <v>18430.882348031999</v>
      </c>
      <c r="E76" s="20">
        <f t="shared" si="29"/>
        <v>18891.6544067328</v>
      </c>
      <c r="F76" s="20">
        <f t="shared" si="29"/>
        <v>19363.945766901114</v>
      </c>
      <c r="G76" s="20">
        <f t="shared" si="29"/>
        <v>19848.044411073643</v>
      </c>
      <c r="H76" s="20">
        <f t="shared" si="29"/>
        <v>20344.245521350487</v>
      </c>
      <c r="I76" s="20">
        <f t="shared" si="29"/>
        <v>20852.851659384251</v>
      </c>
      <c r="J76" s="20">
        <f t="shared" si="29"/>
        <v>21374.172950868844</v>
      </c>
      <c r="K76" s="20">
        <f t="shared" si="29"/>
        <v>21908.527274640564</v>
      </c>
      <c r="L76" s="20">
        <f t="shared" si="29"/>
        <v>22456.240456506581</v>
      </c>
      <c r="M76" s="20">
        <f t="shared" si="29"/>
        <v>23017.646467919243</v>
      </c>
      <c r="N76" s="20">
        <f t="shared" si="29"/>
        <v>28016.791560170448</v>
      </c>
      <c r="O76" s="20">
        <f t="shared" si="29"/>
        <v>28717.2113491747</v>
      </c>
      <c r="P76" s="20">
        <f t="shared" si="29"/>
        <v>29435.141632904066</v>
      </c>
      <c r="Q76" s="20">
        <f t="shared" si="29"/>
        <v>30171.020173726662</v>
      </c>
      <c r="R76" s="20">
        <f t="shared" si="29"/>
        <v>30925.295678069833</v>
      </c>
      <c r="S76" s="20">
        <f t="shared" si="29"/>
        <v>31698.428070021579</v>
      </c>
      <c r="T76" s="20">
        <f t="shared" si="29"/>
        <v>32490.888771772115</v>
      </c>
      <c r="U76" s="20">
        <f t="shared" si="29"/>
        <v>33303.160991066412</v>
      </c>
      <c r="V76" s="20">
        <f t="shared" si="29"/>
        <v>34135.740015843076</v>
      </c>
      <c r="W76" s="20">
        <f t="shared" si="29"/>
        <v>34989.133516239141</v>
      </c>
      <c r="X76" s="20">
        <f>X67</f>
        <v>35863.861854145121</v>
      </c>
      <c r="Y76" s="20">
        <f>Y67</f>
        <v>36760.458400498748</v>
      </c>
      <c r="Z76" s="20">
        <f>Z67</f>
        <v>37679.469860511213</v>
      </c>
      <c r="AA76" s="20">
        <f>AA67</f>
        <v>38621.456607023989</v>
      </c>
      <c r="AB76" s="20">
        <f>AB67</f>
        <v>39586.993022199582</v>
      </c>
    </row>
    <row r="78" spans="2:28" x14ac:dyDescent="0.25">
      <c r="B78" s="2" t="s">
        <v>107</v>
      </c>
      <c r="D78" s="20">
        <f t="shared" ref="D78:AA78" si="30">IF(D19&lt;=$D$14,D76/$D$15,0)</f>
        <v>12287.254898687999</v>
      </c>
      <c r="E78" s="20">
        <f t="shared" si="30"/>
        <v>12594.4362711552</v>
      </c>
      <c r="F78" s="20">
        <f t="shared" si="30"/>
        <v>12909.297177934075</v>
      </c>
      <c r="G78" s="20">
        <f t="shared" si="30"/>
        <v>13232.029607382428</v>
      </c>
      <c r="H78" s="20">
        <f t="shared" si="30"/>
        <v>13562.830347566991</v>
      </c>
      <c r="I78" s="20">
        <f t="shared" si="30"/>
        <v>13901.901106256168</v>
      </c>
      <c r="J78" s="20">
        <f t="shared" si="30"/>
        <v>14249.448633912563</v>
      </c>
      <c r="K78" s="20">
        <f t="shared" si="30"/>
        <v>14605.684849760377</v>
      </c>
      <c r="L78" s="20">
        <f t="shared" si="30"/>
        <v>14970.826971004388</v>
      </c>
      <c r="M78" s="20">
        <f t="shared" si="30"/>
        <v>15345.097645279495</v>
      </c>
      <c r="N78" s="20">
        <f t="shared" si="30"/>
        <v>0</v>
      </c>
      <c r="O78" s="20">
        <f t="shared" si="30"/>
        <v>0</v>
      </c>
      <c r="P78" s="20">
        <f t="shared" si="30"/>
        <v>0</v>
      </c>
      <c r="Q78" s="20">
        <f t="shared" si="30"/>
        <v>0</v>
      </c>
      <c r="R78" s="20">
        <f t="shared" si="30"/>
        <v>0</v>
      </c>
      <c r="S78" s="20">
        <f t="shared" si="30"/>
        <v>0</v>
      </c>
      <c r="T78" s="20">
        <f t="shared" si="30"/>
        <v>0</v>
      </c>
      <c r="U78" s="20">
        <f t="shared" si="30"/>
        <v>0</v>
      </c>
      <c r="V78" s="20">
        <f t="shared" si="30"/>
        <v>0</v>
      </c>
      <c r="W78" s="20">
        <f t="shared" si="30"/>
        <v>0</v>
      </c>
      <c r="X78" s="20">
        <f t="shared" si="30"/>
        <v>0</v>
      </c>
      <c r="Y78" s="20">
        <f t="shared" si="30"/>
        <v>0</v>
      </c>
      <c r="Z78" s="20">
        <f t="shared" si="30"/>
        <v>0</v>
      </c>
      <c r="AA78" s="20">
        <f t="shared" si="30"/>
        <v>0</v>
      </c>
      <c r="AB78" s="20">
        <f t="shared" ref="AB78" si="31">IF(AB19&lt;=$D$14,AB76/$D$15,0)</f>
        <v>0</v>
      </c>
    </row>
    <row r="80" spans="2:28" x14ac:dyDescent="0.25">
      <c r="B80" s="2" t="s">
        <v>108</v>
      </c>
      <c r="C80" s="70">
        <f>NPV(4.5%,D78:AB78)</f>
        <v>107954.67062536336</v>
      </c>
    </row>
    <row r="82" spans="1:28" x14ac:dyDescent="0.25">
      <c r="B82" s="2" t="s">
        <v>110</v>
      </c>
      <c r="C82" s="21">
        <f>-C72+C80</f>
        <v>-87073.547277762467</v>
      </c>
      <c r="D82" s="20">
        <f t="shared" ref="D82:W82" si="32">D67-D78</f>
        <v>6143.6274493439996</v>
      </c>
      <c r="E82" s="20">
        <f t="shared" si="32"/>
        <v>6297.2181355775992</v>
      </c>
      <c r="F82" s="20">
        <f t="shared" si="32"/>
        <v>6454.6485889670384</v>
      </c>
      <c r="G82" s="20">
        <f t="shared" si="32"/>
        <v>6616.0148036912142</v>
      </c>
      <c r="H82" s="20">
        <f t="shared" si="32"/>
        <v>6781.4151737834964</v>
      </c>
      <c r="I82" s="20">
        <f t="shared" si="32"/>
        <v>6950.9505531280829</v>
      </c>
      <c r="J82" s="20">
        <f t="shared" si="32"/>
        <v>7124.7243169562807</v>
      </c>
      <c r="K82" s="20">
        <f t="shared" si="32"/>
        <v>7302.8424248801875</v>
      </c>
      <c r="L82" s="20">
        <f t="shared" si="32"/>
        <v>7485.413485502193</v>
      </c>
      <c r="M82" s="20">
        <f t="shared" si="32"/>
        <v>7672.5488226397483</v>
      </c>
      <c r="N82" s="20">
        <f t="shared" si="32"/>
        <v>28016.791560170448</v>
      </c>
      <c r="O82" s="20">
        <f t="shared" si="32"/>
        <v>28717.2113491747</v>
      </c>
      <c r="P82" s="20">
        <f t="shared" si="32"/>
        <v>29435.141632904066</v>
      </c>
      <c r="Q82" s="20">
        <f t="shared" si="32"/>
        <v>30171.020173726662</v>
      </c>
      <c r="R82" s="20">
        <f t="shared" si="32"/>
        <v>30925.295678069833</v>
      </c>
      <c r="S82" s="20">
        <f t="shared" si="32"/>
        <v>31698.428070021579</v>
      </c>
      <c r="T82" s="20">
        <f t="shared" si="32"/>
        <v>32490.888771772115</v>
      </c>
      <c r="U82" s="20">
        <f t="shared" si="32"/>
        <v>33303.160991066412</v>
      </c>
      <c r="V82" s="20">
        <f t="shared" si="32"/>
        <v>34135.740015843076</v>
      </c>
      <c r="W82" s="20">
        <f t="shared" si="32"/>
        <v>34989.133516239141</v>
      </c>
      <c r="X82" s="20">
        <f>X67-X78</f>
        <v>35863.861854145121</v>
      </c>
      <c r="Y82" s="20">
        <f>Y67-Y78</f>
        <v>36760.458400498748</v>
      </c>
      <c r="Z82" s="20">
        <f>Z67-Z78</f>
        <v>37679.469860511213</v>
      </c>
      <c r="AA82" s="20">
        <f>AA67-AA78</f>
        <v>38621.456607023989</v>
      </c>
      <c r="AB82" s="20">
        <f>AB67-AB78</f>
        <v>39586.993022199582</v>
      </c>
    </row>
    <row r="84" spans="1:28" x14ac:dyDescent="0.25">
      <c r="A84" s="35"/>
      <c r="B84" s="35" t="s">
        <v>176</v>
      </c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</row>
    <row r="86" spans="1:28" x14ac:dyDescent="0.25">
      <c r="B86" s="33" t="s">
        <v>116</v>
      </c>
      <c r="C86" s="121"/>
      <c r="D86" s="121">
        <v>1</v>
      </c>
      <c r="E86" s="121">
        <f t="shared" ref="E86:W86" si="33">D86+1</f>
        <v>2</v>
      </c>
      <c r="F86" s="121">
        <f t="shared" si="33"/>
        <v>3</v>
      </c>
      <c r="G86" s="121">
        <f t="shared" si="33"/>
        <v>4</v>
      </c>
      <c r="H86" s="121">
        <f t="shared" si="33"/>
        <v>5</v>
      </c>
      <c r="I86" s="121">
        <f t="shared" si="33"/>
        <v>6</v>
      </c>
      <c r="J86" s="121">
        <f t="shared" si="33"/>
        <v>7</v>
      </c>
      <c r="K86" s="121">
        <f t="shared" si="33"/>
        <v>8</v>
      </c>
      <c r="L86" s="121">
        <f t="shared" si="33"/>
        <v>9</v>
      </c>
      <c r="M86" s="121">
        <f t="shared" si="33"/>
        <v>10</v>
      </c>
      <c r="N86" s="121">
        <f t="shared" si="33"/>
        <v>11</v>
      </c>
      <c r="O86" s="121">
        <f t="shared" si="33"/>
        <v>12</v>
      </c>
      <c r="P86" s="121">
        <f t="shared" si="33"/>
        <v>13</v>
      </c>
      <c r="Q86" s="121">
        <f t="shared" si="33"/>
        <v>14</v>
      </c>
      <c r="R86" s="121">
        <f t="shared" si="33"/>
        <v>15</v>
      </c>
      <c r="S86" s="121">
        <f t="shared" si="33"/>
        <v>16</v>
      </c>
      <c r="T86" s="121">
        <f t="shared" si="33"/>
        <v>17</v>
      </c>
      <c r="U86" s="121">
        <f t="shared" si="33"/>
        <v>18</v>
      </c>
      <c r="V86" s="121">
        <f t="shared" si="33"/>
        <v>19</v>
      </c>
      <c r="W86" s="121">
        <f t="shared" si="33"/>
        <v>20</v>
      </c>
      <c r="X86" s="148">
        <f>W86+1</f>
        <v>21</v>
      </c>
      <c r="Y86" s="148">
        <f>X86+1</f>
        <v>22</v>
      </c>
      <c r="Z86" s="148">
        <f>Y86+1</f>
        <v>23</v>
      </c>
      <c r="AA86" s="148">
        <f>Z86+1</f>
        <v>24</v>
      </c>
      <c r="AB86" s="154">
        <f>AA86+1</f>
        <v>25</v>
      </c>
    </row>
    <row r="87" spans="1:28" x14ac:dyDescent="0.25">
      <c r="B87" s="38" t="s">
        <v>144</v>
      </c>
      <c r="C87" s="39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</row>
    <row r="88" spans="1:28" ht="14.4" x14ac:dyDescent="0.3">
      <c r="B88" s="90" t="s">
        <v>113</v>
      </c>
    </row>
    <row r="90" spans="1:28" x14ac:dyDescent="0.25">
      <c r="B90" s="123" t="s">
        <v>70</v>
      </c>
      <c r="C90" s="124">
        <v>0</v>
      </c>
      <c r="D90" s="124">
        <f t="shared" ref="D90:W90" si="34">C94</f>
        <v>366596.99999999994</v>
      </c>
      <c r="E90" s="124">
        <f t="shared" si="34"/>
        <v>298865.85426923068</v>
      </c>
      <c r="F90" s="124">
        <f t="shared" si="34"/>
        <v>190387.45198846149</v>
      </c>
      <c r="G90" s="124">
        <f t="shared" si="34"/>
        <v>124384.81111269226</v>
      </c>
      <c r="H90" s="124">
        <f t="shared" si="34"/>
        <v>83939.480091923033</v>
      </c>
      <c r="I90" s="124">
        <f t="shared" si="34"/>
        <v>43691.744854153803</v>
      </c>
      <c r="J90" s="124">
        <f t="shared" si="34"/>
        <v>22628.030626384578</v>
      </c>
      <c r="K90" s="124">
        <f t="shared" si="34"/>
        <v>20653.388785615345</v>
      </c>
      <c r="L90" s="124">
        <f t="shared" si="34"/>
        <v>18678.746944846112</v>
      </c>
      <c r="M90" s="124">
        <f t="shared" si="34"/>
        <v>16701.538925076886</v>
      </c>
      <c r="N90" s="124">
        <f t="shared" si="34"/>
        <v>14726.897084307653</v>
      </c>
      <c r="O90" s="124">
        <f t="shared" si="34"/>
        <v>12749.689064538419</v>
      </c>
      <c r="P90" s="124">
        <f t="shared" si="34"/>
        <v>10775.047223769187</v>
      </c>
      <c r="Q90" s="124">
        <f t="shared" si="34"/>
        <v>8797.8392039999526</v>
      </c>
      <c r="R90" s="124">
        <f t="shared" si="34"/>
        <v>6823.1973632307272</v>
      </c>
      <c r="S90" s="124">
        <f t="shared" si="34"/>
        <v>4845.9893434615005</v>
      </c>
      <c r="T90" s="124">
        <f t="shared" si="34"/>
        <v>3628.3703076922684</v>
      </c>
      <c r="U90" s="124">
        <f t="shared" si="34"/>
        <v>3167.7740769230368</v>
      </c>
      <c r="V90" s="124">
        <f t="shared" si="34"/>
        <v>2707.1778461538051</v>
      </c>
      <c r="W90" s="124">
        <f t="shared" si="34"/>
        <v>2246.5816153845735</v>
      </c>
      <c r="X90" s="124">
        <f>W94</f>
        <v>1785.9853846153419</v>
      </c>
      <c r="Y90" s="124">
        <f>X94</f>
        <v>1691.9861538461118</v>
      </c>
      <c r="Z90" s="124">
        <f>Y94</f>
        <v>1597.9869230768818</v>
      </c>
      <c r="AA90" s="124">
        <f>Z94</f>
        <v>1503.9876923076517</v>
      </c>
      <c r="AB90" s="124">
        <f>AA94</f>
        <v>1409.9884615384217</v>
      </c>
    </row>
    <row r="91" spans="1:28" x14ac:dyDescent="0.25">
      <c r="B91" s="36" t="s">
        <v>111</v>
      </c>
      <c r="C91" s="70">
        <f>Depreciation!E45</f>
        <v>366596.99999999994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  <c r="Z91" s="21">
        <v>0</v>
      </c>
      <c r="AA91" s="21">
        <v>0</v>
      </c>
      <c r="AB91" s="21">
        <v>0</v>
      </c>
    </row>
    <row r="92" spans="1:28" x14ac:dyDescent="0.25">
      <c r="B92" s="36" t="s">
        <v>228</v>
      </c>
      <c r="C92" s="2">
        <v>0</v>
      </c>
      <c r="D92" s="21">
        <f t="shared" ref="D92:AA92" si="35">D42</f>
        <v>-44692.542795729234</v>
      </c>
      <c r="E92" s="21">
        <f t="shared" si="35"/>
        <v>-84863.834272353226</v>
      </c>
      <c r="F92" s="21">
        <f t="shared" si="35"/>
        <v>-41797.708667142833</v>
      </c>
      <c r="G92" s="21">
        <f t="shared" si="35"/>
        <v>-15635.275506927173</v>
      </c>
      <c r="H92" s="21">
        <f t="shared" si="35"/>
        <v>-14817.428336081117</v>
      </c>
      <c r="I92" s="21">
        <f t="shared" si="35"/>
        <v>5002.3503464610803</v>
      </c>
      <c r="J92" s="21">
        <f t="shared" si="35"/>
        <v>24743.074347816826</v>
      </c>
      <c r="K92" s="21">
        <f t="shared" si="35"/>
        <v>25411.017252531474</v>
      </c>
      <c r="L92" s="21">
        <f t="shared" si="35"/>
        <v>26093.092550863996</v>
      </c>
      <c r="M92" s="21">
        <f t="shared" si="35"/>
        <v>26797.416244129821</v>
      </c>
      <c r="N92" s="21">
        <f t="shared" si="35"/>
        <v>27514.151517252296</v>
      </c>
      <c r="O92" s="21">
        <f t="shared" si="35"/>
        <v>28254.001684677827</v>
      </c>
      <c r="P92" s="21">
        <f t="shared" si="35"/>
        <v>29007.151593813996</v>
      </c>
      <c r="Q92" s="21">
        <f t="shared" si="35"/>
        <v>29784.326763153575</v>
      </c>
      <c r="R92" s="21">
        <f t="shared" si="35"/>
        <v>30575.734799251648</v>
      </c>
      <c r="S92" s="21">
        <f t="shared" si="35"/>
        <v>32149.147353727167</v>
      </c>
      <c r="T92" s="21">
        <f t="shared" si="35"/>
        <v>33740.339318464576</v>
      </c>
      <c r="U92" s="21">
        <f t="shared" si="35"/>
        <v>34595.362707195418</v>
      </c>
      <c r="V92" s="21">
        <f t="shared" si="35"/>
        <v>35471.761680644537</v>
      </c>
      <c r="W92" s="21">
        <f t="shared" si="35"/>
        <v>36370.070628429865</v>
      </c>
      <c r="X92" s="21">
        <f t="shared" si="35"/>
        <v>37657.434299909844</v>
      </c>
      <c r="Y92" s="21">
        <f t="shared" si="35"/>
        <v>38601.220138176825</v>
      </c>
      <c r="Z92" s="21">
        <f t="shared" si="35"/>
        <v>39568.600622400467</v>
      </c>
      <c r="AA92" s="21">
        <f t="shared" si="35"/>
        <v>40560.165618729705</v>
      </c>
      <c r="AB92" s="21">
        <f t="shared" ref="AB92" si="36">AB42</f>
        <v>41576.519739967174</v>
      </c>
    </row>
    <row r="93" spans="1:28" x14ac:dyDescent="0.25">
      <c r="B93" s="36" t="s">
        <v>112</v>
      </c>
      <c r="C93" s="2">
        <v>0</v>
      </c>
      <c r="D93" s="21">
        <f t="shared" ref="D93:AA93" si="37">-D38</f>
        <v>-23038.602935039999</v>
      </c>
      <c r="E93" s="21">
        <f t="shared" si="37"/>
        <v>-23614.568008415998</v>
      </c>
      <c r="F93" s="21">
        <f t="shared" si="37"/>
        <v>-24204.932208626393</v>
      </c>
      <c r="G93" s="21">
        <f t="shared" si="37"/>
        <v>-24810.055513842053</v>
      </c>
      <c r="H93" s="21">
        <f t="shared" si="37"/>
        <v>-25430.306901688105</v>
      </c>
      <c r="I93" s="21">
        <f t="shared" si="37"/>
        <v>-26066.06457423031</v>
      </c>
      <c r="J93" s="21">
        <f t="shared" si="37"/>
        <v>-26717.716188586055</v>
      </c>
      <c r="K93" s="21">
        <f t="shared" si="37"/>
        <v>-27385.659093300703</v>
      </c>
      <c r="L93" s="21">
        <f t="shared" si="37"/>
        <v>-28070.300570633226</v>
      </c>
      <c r="M93" s="21">
        <f t="shared" si="37"/>
        <v>-28772.05808489905</v>
      </c>
      <c r="N93" s="21">
        <f t="shared" si="37"/>
        <v>-29491.359537021526</v>
      </c>
      <c r="O93" s="21">
        <f t="shared" si="37"/>
        <v>-30228.643525447056</v>
      </c>
      <c r="P93" s="21">
        <f t="shared" si="37"/>
        <v>-30984.359613583227</v>
      </c>
      <c r="Q93" s="21">
        <f t="shared" si="37"/>
        <v>-31758.968603922804</v>
      </c>
      <c r="R93" s="21">
        <f t="shared" si="37"/>
        <v>-32552.942819020878</v>
      </c>
      <c r="S93" s="21">
        <f t="shared" si="37"/>
        <v>-33366.766389496399</v>
      </c>
      <c r="T93" s="21">
        <f t="shared" si="37"/>
        <v>-34200.935549233807</v>
      </c>
      <c r="U93" s="21">
        <f t="shared" si="37"/>
        <v>-35055.95893796465</v>
      </c>
      <c r="V93" s="21">
        <f t="shared" si="37"/>
        <v>-35932.357911413768</v>
      </c>
      <c r="W93" s="21">
        <f t="shared" si="37"/>
        <v>-36830.666859199097</v>
      </c>
      <c r="X93" s="21">
        <f t="shared" si="37"/>
        <v>-37751.433530679074</v>
      </c>
      <c r="Y93" s="21">
        <f t="shared" si="37"/>
        <v>-38695.219368946055</v>
      </c>
      <c r="Z93" s="21">
        <f t="shared" si="37"/>
        <v>-39662.599853169697</v>
      </c>
      <c r="AA93" s="21">
        <f t="shared" si="37"/>
        <v>-40654.164849498935</v>
      </c>
      <c r="AB93" s="21">
        <f t="shared" ref="AB93" si="38">-AB38</f>
        <v>-41670.518970736404</v>
      </c>
    </row>
    <row r="94" spans="1:28" ht="14.4" thickBot="1" x14ac:dyDescent="0.3">
      <c r="B94" s="125" t="s">
        <v>71</v>
      </c>
      <c r="C94" s="152">
        <f t="shared" ref="C94:W94" si="39">SUM(C90:C93)</f>
        <v>366596.99999999994</v>
      </c>
      <c r="D94" s="151">
        <f t="shared" si="39"/>
        <v>298865.85426923068</v>
      </c>
      <c r="E94" s="151">
        <f t="shared" si="39"/>
        <v>190387.45198846149</v>
      </c>
      <c r="F94" s="151">
        <f t="shared" si="39"/>
        <v>124384.81111269226</v>
      </c>
      <c r="G94" s="151">
        <f t="shared" si="39"/>
        <v>83939.480091923033</v>
      </c>
      <c r="H94" s="151">
        <f t="shared" si="39"/>
        <v>43691.744854153803</v>
      </c>
      <c r="I94" s="151">
        <f t="shared" si="39"/>
        <v>22628.030626384578</v>
      </c>
      <c r="J94" s="151">
        <f t="shared" si="39"/>
        <v>20653.388785615345</v>
      </c>
      <c r="K94" s="151">
        <f t="shared" si="39"/>
        <v>18678.746944846112</v>
      </c>
      <c r="L94" s="151">
        <f t="shared" si="39"/>
        <v>16701.538925076886</v>
      </c>
      <c r="M94" s="151">
        <f t="shared" si="39"/>
        <v>14726.897084307653</v>
      </c>
      <c r="N94" s="151">
        <f t="shared" si="39"/>
        <v>12749.689064538419</v>
      </c>
      <c r="O94" s="151">
        <f t="shared" si="39"/>
        <v>10775.047223769187</v>
      </c>
      <c r="P94" s="151">
        <f t="shared" si="39"/>
        <v>8797.8392039999526</v>
      </c>
      <c r="Q94" s="151">
        <f t="shared" si="39"/>
        <v>6823.1973632307272</v>
      </c>
      <c r="R94" s="151">
        <f t="shared" si="39"/>
        <v>4845.9893434615005</v>
      </c>
      <c r="S94" s="151">
        <f t="shared" si="39"/>
        <v>3628.3703076922684</v>
      </c>
      <c r="T94" s="151">
        <f t="shared" si="39"/>
        <v>3167.7740769230368</v>
      </c>
      <c r="U94" s="151">
        <f t="shared" si="39"/>
        <v>2707.1778461538051</v>
      </c>
      <c r="V94" s="151">
        <f t="shared" si="39"/>
        <v>2246.5816153845735</v>
      </c>
      <c r="W94" s="151">
        <f t="shared" si="39"/>
        <v>1785.9853846153419</v>
      </c>
      <c r="X94" s="151">
        <f>SUM(X90:X93)</f>
        <v>1691.9861538461118</v>
      </c>
      <c r="Y94" s="151">
        <f>SUM(Y90:Y93)</f>
        <v>1597.9869230768818</v>
      </c>
      <c r="Z94" s="151">
        <f>SUM(Z90:Z93)</f>
        <v>1503.9876923076517</v>
      </c>
      <c r="AA94" s="151">
        <f>SUM(AA90:AA93)</f>
        <v>1409.9884615384217</v>
      </c>
      <c r="AB94" s="151">
        <f t="shared" ref="AB94" si="40">SUM(AB90:AB93)</f>
        <v>1315.9892307691916</v>
      </c>
    </row>
    <row r="95" spans="1:28" ht="14.4" thickTop="1" x14ac:dyDescent="0.25"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</row>
    <row r="96" spans="1:28" x14ac:dyDescent="0.25">
      <c r="B96" s="38" t="s">
        <v>145</v>
      </c>
      <c r="C96" s="39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</row>
    <row r="97" spans="2:28" ht="14.4" x14ac:dyDescent="0.3">
      <c r="B97" s="90" t="s">
        <v>113</v>
      </c>
    </row>
    <row r="99" spans="2:28" x14ac:dyDescent="0.25">
      <c r="B99" s="123" t="s">
        <v>70</v>
      </c>
      <c r="C99" s="124">
        <v>0</v>
      </c>
      <c r="D99" s="124">
        <f t="shared" ref="D99:AB99" si="41">C110</f>
        <v>171568.78209687411</v>
      </c>
      <c r="E99" s="124">
        <f t="shared" si="41"/>
        <v>122715.44414209417</v>
      </c>
      <c r="F99" s="124">
        <f t="shared" si="41"/>
        <v>33977.334610781269</v>
      </c>
      <c r="G99" s="124">
        <f t="shared" si="41"/>
        <v>-12243.383411415412</v>
      </c>
      <c r="H99" s="124">
        <f t="shared" si="41"/>
        <v>-32684.317266041726</v>
      </c>
      <c r="I99" s="124">
        <f t="shared" si="41"/>
        <v>-52439.63269909966</v>
      </c>
      <c r="J99" s="124">
        <f t="shared" si="41"/>
        <v>-52700.51877094926</v>
      </c>
      <c r="K99" s="124">
        <f t="shared" si="41"/>
        <v>-33548.418404327815</v>
      </c>
      <c r="L99" s="124">
        <f t="shared" si="41"/>
        <v>-13868.643142981797</v>
      </c>
      <c r="M99" s="124">
        <f t="shared" si="41"/>
        <v>6349.4583682469129</v>
      </c>
      <c r="N99" s="124">
        <f t="shared" si="41"/>
        <v>27124.488832955623</v>
      </c>
      <c r="O99" s="124">
        <f t="shared" si="41"/>
        <v>27011.871356208532</v>
      </c>
      <c r="P99" s="124">
        <f t="shared" si="41"/>
        <v>26899.012263327731</v>
      </c>
      <c r="Q99" s="124">
        <f t="shared" si="41"/>
        <v>26785.64828654236</v>
      </c>
      <c r="R99" s="124">
        <f t="shared" si="41"/>
        <v>26672.024031122321</v>
      </c>
      <c r="S99" s="124">
        <f t="shared" si="41"/>
        <v>26557.875762734231</v>
      </c>
      <c r="T99" s="124">
        <f t="shared" si="41"/>
        <v>26480.920237268907</v>
      </c>
      <c r="U99" s="124">
        <f t="shared" si="41"/>
        <v>26441.020256071206</v>
      </c>
      <c r="V99" s="124">
        <f t="shared" si="41"/>
        <v>26400.69276317914</v>
      </c>
      <c r="W99" s="124">
        <f t="shared" si="41"/>
        <v>26359.927070800357</v>
      </c>
      <c r="X99" s="124">
        <f t="shared" si="41"/>
        <v>26318.712223947674</v>
      </c>
      <c r="Y99" s="124">
        <f t="shared" si="41"/>
        <v>26295.183545259253</v>
      </c>
      <c r="Z99" s="124">
        <f t="shared" si="41"/>
        <v>26271.182973651699</v>
      </c>
      <c r="AA99" s="124">
        <f t="shared" si="41"/>
        <v>26246.698711802033</v>
      </c>
      <c r="AB99" s="124">
        <f t="shared" si="41"/>
        <v>26221.718667454206</v>
      </c>
    </row>
    <row r="100" spans="2:28" x14ac:dyDescent="0.25">
      <c r="B100" s="36" t="s">
        <v>111</v>
      </c>
      <c r="C100" s="21">
        <f>$C$63</f>
        <v>171568.78209687411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  <c r="Z100" s="21">
        <v>0</v>
      </c>
      <c r="AA100" s="21">
        <v>0</v>
      </c>
      <c r="AB100" s="21">
        <v>0</v>
      </c>
    </row>
    <row r="101" spans="2:28" x14ac:dyDescent="0.25">
      <c r="B101" s="36" t="s">
        <v>112</v>
      </c>
      <c r="C101" s="21">
        <v>0</v>
      </c>
      <c r="D101" s="21">
        <f t="shared" ref="D101:AA101" si="42">-D58</f>
        <v>-4607.7205870079997</v>
      </c>
      <c r="E101" s="21">
        <f t="shared" si="42"/>
        <v>-4722.9136016831999</v>
      </c>
      <c r="F101" s="21">
        <f t="shared" si="42"/>
        <v>-4840.9864417252784</v>
      </c>
      <c r="G101" s="21">
        <f t="shared" si="42"/>
        <v>-4962.0111027684106</v>
      </c>
      <c r="H101" s="21">
        <f t="shared" si="42"/>
        <v>-5086.0613803376218</v>
      </c>
      <c r="I101" s="21">
        <f t="shared" si="42"/>
        <v>-5213.2129148460626</v>
      </c>
      <c r="J101" s="21">
        <f t="shared" si="42"/>
        <v>-5343.543237717211</v>
      </c>
      <c r="K101" s="21">
        <f t="shared" si="42"/>
        <v>-5477.1318186601411</v>
      </c>
      <c r="L101" s="21">
        <f t="shared" si="42"/>
        <v>-5614.0601141266452</v>
      </c>
      <c r="M101" s="21">
        <f t="shared" si="42"/>
        <v>-5754.4116169798108</v>
      </c>
      <c r="N101" s="21">
        <f t="shared" si="42"/>
        <v>-1474.5679768510763</v>
      </c>
      <c r="O101" s="21">
        <f t="shared" si="42"/>
        <v>-1511.432176272353</v>
      </c>
      <c r="P101" s="21">
        <f t="shared" si="42"/>
        <v>-1549.2179806791614</v>
      </c>
      <c r="Q101" s="21">
        <f t="shared" si="42"/>
        <v>-1587.9484301961402</v>
      </c>
      <c r="R101" s="21">
        <f t="shared" si="42"/>
        <v>-1627.6471409510441</v>
      </c>
      <c r="S101" s="21">
        <f t="shared" si="42"/>
        <v>-1668.3383194748201</v>
      </c>
      <c r="T101" s="21">
        <f t="shared" si="42"/>
        <v>-1710.0467774616905</v>
      </c>
      <c r="U101" s="21">
        <f t="shared" si="42"/>
        <v>-1752.7979468982326</v>
      </c>
      <c r="V101" s="21">
        <f t="shared" si="42"/>
        <v>-1796.6178955706885</v>
      </c>
      <c r="W101" s="21">
        <f t="shared" si="42"/>
        <v>-1841.533342959955</v>
      </c>
      <c r="X101" s="21">
        <f t="shared" si="42"/>
        <v>-1887.5716765339539</v>
      </c>
      <c r="Y101" s="21">
        <f t="shared" si="42"/>
        <v>-1934.7609684473027</v>
      </c>
      <c r="Z101" s="21">
        <f t="shared" si="42"/>
        <v>-1983.129992658485</v>
      </c>
      <c r="AA101" s="21">
        <f t="shared" si="42"/>
        <v>-2032.7082424749469</v>
      </c>
      <c r="AB101" s="21">
        <f t="shared" ref="AB101" si="43">-AB58</f>
        <v>-2083.5259485368201</v>
      </c>
    </row>
    <row r="102" spans="2:28" x14ac:dyDescent="0.25">
      <c r="B102" s="36" t="s">
        <v>220</v>
      </c>
      <c r="C102" s="21">
        <v>0</v>
      </c>
      <c r="D102" s="21">
        <f t="shared" ref="D102:AA102" si="44">D53</f>
        <v>-44245.617367771942</v>
      </c>
      <c r="E102" s="21">
        <f t="shared" si="44"/>
        <v>-84015.195929629699</v>
      </c>
      <c r="F102" s="21">
        <f t="shared" si="44"/>
        <v>-41379.731580471402</v>
      </c>
      <c r="G102" s="21">
        <f t="shared" si="44"/>
        <v>-15478.922751857901</v>
      </c>
      <c r="H102" s="21">
        <f t="shared" si="44"/>
        <v>-14669.254052720305</v>
      </c>
      <c r="I102" s="21">
        <f t="shared" si="44"/>
        <v>4952.3268429964692</v>
      </c>
      <c r="J102" s="21">
        <f t="shared" si="44"/>
        <v>24495.643604338657</v>
      </c>
      <c r="K102" s="21">
        <f t="shared" si="44"/>
        <v>25156.90708000616</v>
      </c>
      <c r="L102" s="21">
        <f t="shared" si="44"/>
        <v>25832.161625355355</v>
      </c>
      <c r="M102" s="21">
        <f t="shared" si="44"/>
        <v>26529.442081688521</v>
      </c>
      <c r="N102" s="21">
        <f t="shared" si="44"/>
        <v>1375.7075758626149</v>
      </c>
      <c r="O102" s="21">
        <f t="shared" si="44"/>
        <v>1412.7000842338914</v>
      </c>
      <c r="P102" s="21">
        <f t="shared" si="44"/>
        <v>1450.3575796906998</v>
      </c>
      <c r="Q102" s="21">
        <f t="shared" si="44"/>
        <v>1489.2163381576788</v>
      </c>
      <c r="R102" s="21">
        <f t="shared" si="44"/>
        <v>1528.7867399625825</v>
      </c>
      <c r="S102" s="21">
        <f t="shared" si="44"/>
        <v>1607.4573676863583</v>
      </c>
      <c r="T102" s="21">
        <f t="shared" si="44"/>
        <v>1687.0169659232288</v>
      </c>
      <c r="U102" s="21">
        <f t="shared" si="44"/>
        <v>1729.7681353597709</v>
      </c>
      <c r="V102" s="21">
        <f t="shared" si="44"/>
        <v>1773.588084032227</v>
      </c>
      <c r="W102" s="21">
        <f t="shared" si="44"/>
        <v>1818.5035314214933</v>
      </c>
      <c r="X102" s="21">
        <f t="shared" si="44"/>
        <v>1882.8717149954923</v>
      </c>
      <c r="Y102" s="21">
        <f t="shared" si="44"/>
        <v>1930.0610069088414</v>
      </c>
      <c r="Z102" s="21">
        <f t="shared" si="44"/>
        <v>1978.4300311200234</v>
      </c>
      <c r="AA102" s="21">
        <f t="shared" si="44"/>
        <v>2028.0082809364853</v>
      </c>
      <c r="AB102" s="21">
        <f t="shared" ref="AB102" si="45">AB53</f>
        <v>2078.825986998359</v>
      </c>
    </row>
    <row r="103" spans="2:28" x14ac:dyDescent="0.25">
      <c r="B103" s="149" t="s">
        <v>226</v>
      </c>
      <c r="C103" s="150">
        <f>SUM(C99:C102)</f>
        <v>171568.78209687411</v>
      </c>
      <c r="D103" s="150">
        <f t="shared" ref="D103:AA103" si="46">SUM(D99:D102)</f>
        <v>122715.44414209417</v>
      </c>
      <c r="E103" s="150">
        <f t="shared" si="46"/>
        <v>33977.334610781269</v>
      </c>
      <c r="F103" s="150">
        <f t="shared" si="46"/>
        <v>-12243.383411415412</v>
      </c>
      <c r="G103" s="150">
        <f t="shared" si="46"/>
        <v>-32684.317266041726</v>
      </c>
      <c r="H103" s="150">
        <f t="shared" si="46"/>
        <v>-52439.63269909966</v>
      </c>
      <c r="I103" s="150">
        <f t="shared" si="46"/>
        <v>-52700.51877094926</v>
      </c>
      <c r="J103" s="150">
        <f t="shared" si="46"/>
        <v>-33548.418404327815</v>
      </c>
      <c r="K103" s="150">
        <f t="shared" si="46"/>
        <v>-13868.643142981797</v>
      </c>
      <c r="L103" s="150">
        <f t="shared" si="46"/>
        <v>6349.4583682469129</v>
      </c>
      <c r="M103" s="150">
        <f t="shared" si="46"/>
        <v>27124.488832955623</v>
      </c>
      <c r="N103" s="150">
        <f t="shared" si="46"/>
        <v>27025.628431967161</v>
      </c>
      <c r="O103" s="150">
        <f t="shared" si="46"/>
        <v>26913.139264170073</v>
      </c>
      <c r="P103" s="150">
        <f t="shared" si="46"/>
        <v>26800.151862339269</v>
      </c>
      <c r="Q103" s="150">
        <f t="shared" si="46"/>
        <v>26686.916194503898</v>
      </c>
      <c r="R103" s="150">
        <f t="shared" si="46"/>
        <v>26573.163630133859</v>
      </c>
      <c r="S103" s="150">
        <f t="shared" si="46"/>
        <v>26496.994810945769</v>
      </c>
      <c r="T103" s="150">
        <f t="shared" si="46"/>
        <v>26457.890425730446</v>
      </c>
      <c r="U103" s="150">
        <f t="shared" si="46"/>
        <v>26417.990444532741</v>
      </c>
      <c r="V103" s="150">
        <f t="shared" si="46"/>
        <v>26377.662951640679</v>
      </c>
      <c r="W103" s="150">
        <f t="shared" si="46"/>
        <v>26336.897259261896</v>
      </c>
      <c r="X103" s="150">
        <f t="shared" si="46"/>
        <v>26314.012262409215</v>
      </c>
      <c r="Y103" s="150">
        <f t="shared" si="46"/>
        <v>26290.48358372079</v>
      </c>
      <c r="Z103" s="150">
        <f t="shared" si="46"/>
        <v>26266.48301211324</v>
      </c>
      <c r="AA103" s="150">
        <f t="shared" si="46"/>
        <v>26241.998750263574</v>
      </c>
      <c r="AB103" s="150">
        <f t="shared" ref="AB103" si="47">SUM(AB99:AB102)</f>
        <v>26217.018705915747</v>
      </c>
    </row>
    <row r="104" spans="2:28" x14ac:dyDescent="0.25">
      <c r="B104" s="53" t="s">
        <v>217</v>
      </c>
      <c r="C104" s="155">
        <f t="shared" ref="C104:AB104" si="48">IF(-C103&gt;C113,MIN(-C103-C113,MAX(-MIN(C102,0)+MIN(C$42,0)*$N$9,0)),0)</f>
        <v>0</v>
      </c>
      <c r="D104" s="155">
        <f t="shared" si="48"/>
        <v>0</v>
      </c>
      <c r="E104" s="155">
        <f t="shared" si="48"/>
        <v>0</v>
      </c>
      <c r="F104" s="155">
        <f t="shared" si="48"/>
        <v>0</v>
      </c>
      <c r="G104" s="155">
        <f t="shared" si="48"/>
        <v>0</v>
      </c>
      <c r="H104" s="155">
        <f t="shared" si="48"/>
        <v>0</v>
      </c>
      <c r="I104" s="155">
        <f t="shared" si="48"/>
        <v>0</v>
      </c>
      <c r="J104" s="155">
        <f t="shared" si="48"/>
        <v>0</v>
      </c>
      <c r="K104" s="155">
        <f t="shared" si="48"/>
        <v>0</v>
      </c>
      <c r="L104" s="155">
        <f t="shared" si="48"/>
        <v>0</v>
      </c>
      <c r="M104" s="155">
        <f t="shared" si="48"/>
        <v>0</v>
      </c>
      <c r="N104" s="155">
        <f t="shared" si="48"/>
        <v>0</v>
      </c>
      <c r="O104" s="155">
        <f t="shared" si="48"/>
        <v>0</v>
      </c>
      <c r="P104" s="155">
        <f t="shared" si="48"/>
        <v>0</v>
      </c>
      <c r="Q104" s="155">
        <f t="shared" si="48"/>
        <v>0</v>
      </c>
      <c r="R104" s="155">
        <f t="shared" si="48"/>
        <v>0</v>
      </c>
      <c r="S104" s="155">
        <f t="shared" si="48"/>
        <v>0</v>
      </c>
      <c r="T104" s="155">
        <f t="shared" si="48"/>
        <v>0</v>
      </c>
      <c r="U104" s="155">
        <f t="shared" si="48"/>
        <v>0</v>
      </c>
      <c r="V104" s="155">
        <f t="shared" si="48"/>
        <v>0</v>
      </c>
      <c r="W104" s="155">
        <f t="shared" si="48"/>
        <v>0</v>
      </c>
      <c r="X104" s="155">
        <f t="shared" si="48"/>
        <v>0</v>
      </c>
      <c r="Y104" s="155">
        <f t="shared" si="48"/>
        <v>0</v>
      </c>
      <c r="Z104" s="155">
        <f t="shared" si="48"/>
        <v>0</v>
      </c>
      <c r="AA104" s="155">
        <f t="shared" si="48"/>
        <v>0</v>
      </c>
      <c r="AB104" s="155">
        <f t="shared" si="48"/>
        <v>0</v>
      </c>
    </row>
    <row r="105" spans="2:28" x14ac:dyDescent="0.25">
      <c r="B105" s="53" t="s">
        <v>218</v>
      </c>
      <c r="C105" s="155">
        <f t="shared" ref="C105:G105" si="49">-C128</f>
        <v>0</v>
      </c>
      <c r="D105" s="155">
        <f t="shared" si="49"/>
        <v>0</v>
      </c>
      <c r="E105" s="155">
        <f t="shared" si="49"/>
        <v>0</v>
      </c>
      <c r="F105" s="155">
        <f t="shared" si="49"/>
        <v>0</v>
      </c>
      <c r="G105" s="155">
        <f t="shared" si="49"/>
        <v>0</v>
      </c>
      <c r="H105" s="155">
        <f t="shared" ref="H105:AB105" si="50">-H128</f>
        <v>0</v>
      </c>
      <c r="I105" s="155">
        <f t="shared" si="50"/>
        <v>0</v>
      </c>
      <c r="J105" s="155">
        <f t="shared" si="50"/>
        <v>0</v>
      </c>
      <c r="K105" s="155">
        <f t="shared" si="50"/>
        <v>0</v>
      </c>
      <c r="L105" s="155">
        <f t="shared" si="50"/>
        <v>0</v>
      </c>
      <c r="M105" s="155">
        <f t="shared" si="50"/>
        <v>0</v>
      </c>
      <c r="N105" s="155">
        <f t="shared" si="50"/>
        <v>-13.757075758629071</v>
      </c>
      <c r="O105" s="155">
        <f t="shared" si="50"/>
        <v>-14.127000842341658</v>
      </c>
      <c r="P105" s="155">
        <f t="shared" si="50"/>
        <v>-14.50357579690899</v>
      </c>
      <c r="Q105" s="155">
        <f t="shared" si="50"/>
        <v>-14.89216338157712</v>
      </c>
      <c r="R105" s="155">
        <f t="shared" si="50"/>
        <v>-15.28786739962743</v>
      </c>
      <c r="S105" s="155">
        <f t="shared" si="50"/>
        <v>-16.074573676862201</v>
      </c>
      <c r="T105" s="155">
        <f t="shared" si="50"/>
        <v>-16.870169659236126</v>
      </c>
      <c r="U105" s="155">
        <f t="shared" si="50"/>
        <v>-17.297681353600638</v>
      </c>
      <c r="V105" s="155">
        <f t="shared" si="50"/>
        <v>-17.735880840322352</v>
      </c>
      <c r="W105" s="155">
        <f t="shared" si="50"/>
        <v>-18.18503531422175</v>
      </c>
      <c r="X105" s="155">
        <f t="shared" si="50"/>
        <v>-18.828717149961449</v>
      </c>
      <c r="Y105" s="155">
        <f t="shared" si="50"/>
        <v>-19.300610069090908</v>
      </c>
      <c r="Z105" s="155">
        <f t="shared" si="50"/>
        <v>-19.784300311206607</v>
      </c>
      <c r="AA105" s="155">
        <f t="shared" si="50"/>
        <v>-20.280082809367741</v>
      </c>
      <c r="AB105" s="155">
        <f t="shared" si="50"/>
        <v>-20.788259869987087</v>
      </c>
    </row>
    <row r="106" spans="2:28" x14ac:dyDescent="0.25">
      <c r="B106" s="53" t="s">
        <v>219</v>
      </c>
      <c r="C106" s="155">
        <f t="shared" ref="C106:AB106" si="51">MAX(IF(AND(C113=0,SUM(C103:C105)&lt;0),MIN($N$8*C$53-SUM(C102,C104:C105)-SUM(C103:C105)),0),0)</f>
        <v>0</v>
      </c>
      <c r="D106" s="155">
        <f t="shared" si="51"/>
        <v>0</v>
      </c>
      <c r="E106" s="155">
        <f t="shared" si="51"/>
        <v>0</v>
      </c>
      <c r="F106" s="155">
        <f t="shared" si="51"/>
        <v>0</v>
      </c>
      <c r="G106" s="155">
        <f t="shared" si="51"/>
        <v>0</v>
      </c>
      <c r="H106" s="155">
        <f t="shared" si="51"/>
        <v>0</v>
      </c>
      <c r="I106" s="155">
        <f t="shared" si="51"/>
        <v>0</v>
      </c>
      <c r="J106" s="155">
        <f t="shared" si="51"/>
        <v>0</v>
      </c>
      <c r="K106" s="155">
        <f t="shared" si="51"/>
        <v>0</v>
      </c>
      <c r="L106" s="155">
        <f t="shared" si="51"/>
        <v>0</v>
      </c>
      <c r="M106" s="155">
        <f t="shared" si="51"/>
        <v>0</v>
      </c>
      <c r="N106" s="155">
        <f t="shared" si="51"/>
        <v>0</v>
      </c>
      <c r="O106" s="155">
        <f t="shared" si="51"/>
        <v>0</v>
      </c>
      <c r="P106" s="155">
        <f t="shared" si="51"/>
        <v>0</v>
      </c>
      <c r="Q106" s="155">
        <f t="shared" si="51"/>
        <v>0</v>
      </c>
      <c r="R106" s="155">
        <f t="shared" si="51"/>
        <v>0</v>
      </c>
      <c r="S106" s="155">
        <f t="shared" si="51"/>
        <v>0</v>
      </c>
      <c r="T106" s="155">
        <f t="shared" si="51"/>
        <v>0</v>
      </c>
      <c r="U106" s="155">
        <f t="shared" si="51"/>
        <v>0</v>
      </c>
      <c r="V106" s="155">
        <f t="shared" si="51"/>
        <v>0</v>
      </c>
      <c r="W106" s="155">
        <f t="shared" si="51"/>
        <v>0</v>
      </c>
      <c r="X106" s="155">
        <f t="shared" si="51"/>
        <v>0</v>
      </c>
      <c r="Y106" s="155">
        <f t="shared" si="51"/>
        <v>0</v>
      </c>
      <c r="Z106" s="155">
        <f t="shared" si="51"/>
        <v>0</v>
      </c>
      <c r="AA106" s="155">
        <f t="shared" si="51"/>
        <v>0</v>
      </c>
      <c r="AB106" s="155">
        <f t="shared" si="51"/>
        <v>0</v>
      </c>
    </row>
    <row r="107" spans="2:28" x14ac:dyDescent="0.25">
      <c r="B107" s="149" t="s">
        <v>221</v>
      </c>
      <c r="C107" s="150">
        <f>SUM(C102,C104:C106)</f>
        <v>0</v>
      </c>
      <c r="D107" s="150">
        <f t="shared" ref="D107:AA107" si="52">SUM(D102,D104:D106)</f>
        <v>-44245.617367771942</v>
      </c>
      <c r="E107" s="150">
        <f t="shared" si="52"/>
        <v>-84015.195929629699</v>
      </c>
      <c r="F107" s="150">
        <f t="shared" si="52"/>
        <v>-41379.731580471402</v>
      </c>
      <c r="G107" s="150">
        <f t="shared" si="52"/>
        <v>-15478.922751857901</v>
      </c>
      <c r="H107" s="150">
        <f t="shared" si="52"/>
        <v>-14669.254052720305</v>
      </c>
      <c r="I107" s="150">
        <f t="shared" si="52"/>
        <v>4952.3268429964692</v>
      </c>
      <c r="J107" s="150">
        <f t="shared" si="52"/>
        <v>24495.643604338657</v>
      </c>
      <c r="K107" s="150">
        <f t="shared" si="52"/>
        <v>25156.90708000616</v>
      </c>
      <c r="L107" s="150">
        <f t="shared" si="52"/>
        <v>25832.161625355355</v>
      </c>
      <c r="M107" s="150">
        <f t="shared" si="52"/>
        <v>26529.442081688521</v>
      </c>
      <c r="N107" s="150">
        <f t="shared" si="52"/>
        <v>1361.9505001039859</v>
      </c>
      <c r="O107" s="150">
        <f t="shared" si="52"/>
        <v>1398.5730833915497</v>
      </c>
      <c r="P107" s="150">
        <f t="shared" si="52"/>
        <v>1435.8540038937908</v>
      </c>
      <c r="Q107" s="150">
        <f t="shared" si="52"/>
        <v>1474.3241747761017</v>
      </c>
      <c r="R107" s="150">
        <f t="shared" si="52"/>
        <v>1513.4988725629551</v>
      </c>
      <c r="S107" s="150">
        <f t="shared" si="52"/>
        <v>1591.3827940094961</v>
      </c>
      <c r="T107" s="150">
        <f t="shared" si="52"/>
        <v>1670.1467962639927</v>
      </c>
      <c r="U107" s="150">
        <f t="shared" si="52"/>
        <v>1712.4704540061703</v>
      </c>
      <c r="V107" s="150">
        <f t="shared" si="52"/>
        <v>1755.8522031919047</v>
      </c>
      <c r="W107" s="150">
        <f t="shared" si="52"/>
        <v>1800.3184961072716</v>
      </c>
      <c r="X107" s="150">
        <f t="shared" si="52"/>
        <v>1864.0429978455309</v>
      </c>
      <c r="Y107" s="150">
        <f t="shared" si="52"/>
        <v>1910.7603968397505</v>
      </c>
      <c r="Z107" s="150">
        <f t="shared" si="52"/>
        <v>1958.6457308088168</v>
      </c>
      <c r="AA107" s="150">
        <f t="shared" si="52"/>
        <v>2007.7281981271176</v>
      </c>
      <c r="AB107" s="150">
        <f t="shared" ref="AB107" si="53">SUM(AB102,AB104:AB106)</f>
        <v>2058.0377271283719</v>
      </c>
    </row>
    <row r="108" spans="2:28" x14ac:dyDescent="0.25">
      <c r="B108" s="149" t="s">
        <v>225</v>
      </c>
      <c r="C108" s="150">
        <f>SUM(C99:C101,C107)</f>
        <v>171568.78209687411</v>
      </c>
      <c r="D108" s="150">
        <f t="shared" ref="D108:AB108" si="54">SUM(D99:D101,D107)</f>
        <v>122715.44414209417</v>
      </c>
      <c r="E108" s="150">
        <f t="shared" si="54"/>
        <v>33977.334610781269</v>
      </c>
      <c r="F108" s="150">
        <f t="shared" si="54"/>
        <v>-12243.383411415412</v>
      </c>
      <c r="G108" s="150">
        <f t="shared" si="54"/>
        <v>-32684.317266041726</v>
      </c>
      <c r="H108" s="150">
        <f t="shared" si="54"/>
        <v>-52439.63269909966</v>
      </c>
      <c r="I108" s="150">
        <f t="shared" si="54"/>
        <v>-52700.51877094926</v>
      </c>
      <c r="J108" s="150">
        <f t="shared" si="54"/>
        <v>-33548.418404327815</v>
      </c>
      <c r="K108" s="150">
        <f t="shared" si="54"/>
        <v>-13868.643142981797</v>
      </c>
      <c r="L108" s="150">
        <f t="shared" si="54"/>
        <v>6349.4583682469129</v>
      </c>
      <c r="M108" s="150">
        <f t="shared" si="54"/>
        <v>27124.488832955623</v>
      </c>
      <c r="N108" s="150">
        <f t="shared" si="54"/>
        <v>27011.871356208532</v>
      </c>
      <c r="O108" s="150">
        <f t="shared" si="54"/>
        <v>26899.012263327731</v>
      </c>
      <c r="P108" s="150">
        <f t="shared" si="54"/>
        <v>26785.64828654236</v>
      </c>
      <c r="Q108" s="150">
        <f t="shared" si="54"/>
        <v>26672.024031122321</v>
      </c>
      <c r="R108" s="150">
        <f t="shared" si="54"/>
        <v>26557.875762734231</v>
      </c>
      <c r="S108" s="150">
        <f t="shared" si="54"/>
        <v>26480.920237268907</v>
      </c>
      <c r="T108" s="150">
        <f t="shared" si="54"/>
        <v>26441.020256071206</v>
      </c>
      <c r="U108" s="150">
        <f t="shared" si="54"/>
        <v>26400.69276317914</v>
      </c>
      <c r="V108" s="150">
        <f t="shared" si="54"/>
        <v>26359.927070800357</v>
      </c>
      <c r="W108" s="150">
        <f t="shared" si="54"/>
        <v>26318.712223947674</v>
      </c>
      <c r="X108" s="150">
        <f t="shared" si="54"/>
        <v>26295.183545259253</v>
      </c>
      <c r="Y108" s="150">
        <f t="shared" si="54"/>
        <v>26271.182973651699</v>
      </c>
      <c r="Z108" s="150">
        <f t="shared" si="54"/>
        <v>26246.698711802033</v>
      </c>
      <c r="AA108" s="150">
        <f t="shared" si="54"/>
        <v>26221.718667454206</v>
      </c>
      <c r="AB108" s="150">
        <f t="shared" si="54"/>
        <v>26196.23044604576</v>
      </c>
    </row>
    <row r="109" spans="2:28" x14ac:dyDescent="0.25">
      <c r="B109" s="147" t="s">
        <v>247</v>
      </c>
      <c r="C109" s="159">
        <v>0</v>
      </c>
      <c r="D109" s="159">
        <v>0</v>
      </c>
      <c r="E109" s="159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59">
        <v>0</v>
      </c>
      <c r="T109" s="159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f>-AB108</f>
        <v>-26196.23044604576</v>
      </c>
    </row>
    <row r="110" spans="2:28" ht="14.4" thickBot="1" x14ac:dyDescent="0.3">
      <c r="B110" s="125" t="s">
        <v>71</v>
      </c>
      <c r="C110" s="151">
        <f>SUM(C108:C109)</f>
        <v>171568.78209687411</v>
      </c>
      <c r="D110" s="151">
        <f t="shared" ref="D110:AB110" si="55">SUM(D108:D109)</f>
        <v>122715.44414209417</v>
      </c>
      <c r="E110" s="151">
        <f t="shared" si="55"/>
        <v>33977.334610781269</v>
      </c>
      <c r="F110" s="151">
        <f t="shared" si="55"/>
        <v>-12243.383411415412</v>
      </c>
      <c r="G110" s="151">
        <f t="shared" si="55"/>
        <v>-32684.317266041726</v>
      </c>
      <c r="H110" s="151">
        <f t="shared" si="55"/>
        <v>-52439.63269909966</v>
      </c>
      <c r="I110" s="151">
        <f t="shared" si="55"/>
        <v>-52700.51877094926</v>
      </c>
      <c r="J110" s="151">
        <f t="shared" si="55"/>
        <v>-33548.418404327815</v>
      </c>
      <c r="K110" s="151">
        <f t="shared" si="55"/>
        <v>-13868.643142981797</v>
      </c>
      <c r="L110" s="151">
        <f t="shared" si="55"/>
        <v>6349.4583682469129</v>
      </c>
      <c r="M110" s="151">
        <f t="shared" si="55"/>
        <v>27124.488832955623</v>
      </c>
      <c r="N110" s="151">
        <f t="shared" si="55"/>
        <v>27011.871356208532</v>
      </c>
      <c r="O110" s="151">
        <f t="shared" si="55"/>
        <v>26899.012263327731</v>
      </c>
      <c r="P110" s="151">
        <f t="shared" si="55"/>
        <v>26785.64828654236</v>
      </c>
      <c r="Q110" s="151">
        <f t="shared" si="55"/>
        <v>26672.024031122321</v>
      </c>
      <c r="R110" s="151">
        <f t="shared" si="55"/>
        <v>26557.875762734231</v>
      </c>
      <c r="S110" s="151">
        <f t="shared" si="55"/>
        <v>26480.920237268907</v>
      </c>
      <c r="T110" s="151">
        <f t="shared" si="55"/>
        <v>26441.020256071206</v>
      </c>
      <c r="U110" s="151">
        <f t="shared" si="55"/>
        <v>26400.69276317914</v>
      </c>
      <c r="V110" s="151">
        <f t="shared" si="55"/>
        <v>26359.927070800357</v>
      </c>
      <c r="W110" s="151">
        <f t="shared" si="55"/>
        <v>26318.712223947674</v>
      </c>
      <c r="X110" s="151">
        <f t="shared" si="55"/>
        <v>26295.183545259253</v>
      </c>
      <c r="Y110" s="151">
        <f t="shared" si="55"/>
        <v>26271.182973651699</v>
      </c>
      <c r="Z110" s="151">
        <f t="shared" si="55"/>
        <v>26246.698711802033</v>
      </c>
      <c r="AA110" s="151">
        <f t="shared" si="55"/>
        <v>26221.718667454206</v>
      </c>
      <c r="AB110" s="151">
        <f t="shared" si="55"/>
        <v>0</v>
      </c>
    </row>
    <row r="111" spans="2:28" ht="14.4" thickTop="1" x14ac:dyDescent="0.25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spans="2:28" x14ac:dyDescent="0.25">
      <c r="B112" s="15" t="s">
        <v>114</v>
      </c>
      <c r="C112" s="20"/>
    </row>
    <row r="113" spans="2:28" x14ac:dyDescent="0.25">
      <c r="B113" s="2" t="s">
        <v>193</v>
      </c>
      <c r="C113" s="20">
        <f>$O$13</f>
        <v>60000</v>
      </c>
      <c r="D113" s="21">
        <f>C113</f>
        <v>60000</v>
      </c>
      <c r="E113" s="21">
        <f t="shared" ref="E113:M113" si="56">D113</f>
        <v>60000</v>
      </c>
      <c r="F113" s="21">
        <f t="shared" si="56"/>
        <v>60000</v>
      </c>
      <c r="G113" s="21">
        <f t="shared" si="56"/>
        <v>60000</v>
      </c>
      <c r="H113" s="21">
        <f t="shared" si="56"/>
        <v>60000</v>
      </c>
      <c r="I113" s="21">
        <f t="shared" si="56"/>
        <v>60000</v>
      </c>
      <c r="J113" s="21">
        <f t="shared" si="56"/>
        <v>60000</v>
      </c>
      <c r="K113" s="21">
        <f t="shared" si="56"/>
        <v>60000</v>
      </c>
      <c r="L113" s="21">
        <f t="shared" si="56"/>
        <v>60000</v>
      </c>
      <c r="M113" s="21">
        <f t="shared" si="56"/>
        <v>60000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Z113" s="21">
        <v>0</v>
      </c>
      <c r="AA113" s="21">
        <v>0</v>
      </c>
      <c r="AB113" s="21">
        <v>0</v>
      </c>
    </row>
    <row r="114" spans="2:28" x14ac:dyDescent="0.25">
      <c r="B114" s="2" t="s">
        <v>197</v>
      </c>
      <c r="C114" s="68">
        <f>C113/C63</f>
        <v>0.34971397049447939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</row>
    <row r="115" spans="2:28" x14ac:dyDescent="0.25">
      <c r="C115" s="2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</row>
    <row r="116" spans="2:28" x14ac:dyDescent="0.25">
      <c r="B116" s="2" t="s">
        <v>194</v>
      </c>
      <c r="C116" s="20"/>
      <c r="D116" s="21">
        <f>-MIN(D110,0)</f>
        <v>0</v>
      </c>
      <c r="E116" s="21">
        <f t="shared" ref="E116:AA116" si="57">-MIN(E110,0)</f>
        <v>0</v>
      </c>
      <c r="F116" s="21">
        <f t="shared" si="57"/>
        <v>12243.383411415412</v>
      </c>
      <c r="G116" s="21">
        <f t="shared" si="57"/>
        <v>32684.317266041726</v>
      </c>
      <c r="H116" s="21">
        <f t="shared" si="57"/>
        <v>52439.63269909966</v>
      </c>
      <c r="I116" s="21">
        <f t="shared" si="57"/>
        <v>52700.51877094926</v>
      </c>
      <c r="J116" s="21">
        <f t="shared" si="57"/>
        <v>33548.418404327815</v>
      </c>
      <c r="K116" s="21">
        <f t="shared" si="57"/>
        <v>13868.643142981797</v>
      </c>
      <c r="L116" s="21">
        <f t="shared" si="57"/>
        <v>0</v>
      </c>
      <c r="M116" s="21">
        <f t="shared" si="57"/>
        <v>0</v>
      </c>
      <c r="N116" s="21">
        <f t="shared" si="57"/>
        <v>0</v>
      </c>
      <c r="O116" s="21">
        <f t="shared" si="57"/>
        <v>0</v>
      </c>
      <c r="P116" s="21">
        <f t="shared" si="57"/>
        <v>0</v>
      </c>
      <c r="Q116" s="21">
        <f t="shared" si="57"/>
        <v>0</v>
      </c>
      <c r="R116" s="21">
        <f t="shared" si="57"/>
        <v>0</v>
      </c>
      <c r="S116" s="21">
        <f t="shared" si="57"/>
        <v>0</v>
      </c>
      <c r="T116" s="21">
        <f t="shared" si="57"/>
        <v>0</v>
      </c>
      <c r="U116" s="21">
        <f t="shared" si="57"/>
        <v>0</v>
      </c>
      <c r="V116" s="21">
        <f t="shared" si="57"/>
        <v>0</v>
      </c>
      <c r="W116" s="21">
        <f t="shared" si="57"/>
        <v>0</v>
      </c>
      <c r="X116" s="21">
        <f t="shared" si="57"/>
        <v>0</v>
      </c>
      <c r="Y116" s="21">
        <f t="shared" si="57"/>
        <v>0</v>
      </c>
      <c r="Z116" s="21">
        <f t="shared" si="57"/>
        <v>0</v>
      </c>
      <c r="AA116" s="21">
        <f t="shared" si="57"/>
        <v>0</v>
      </c>
      <c r="AB116" s="21">
        <f t="shared" ref="AB116" si="58">-MIN(AB110,0)</f>
        <v>0</v>
      </c>
    </row>
    <row r="117" spans="2:28" x14ac:dyDescent="0.25">
      <c r="B117" s="2" t="s">
        <v>195</v>
      </c>
      <c r="C117" s="20">
        <f>MAX(D116:AA116)</f>
        <v>52700.51877094926</v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</row>
    <row r="118" spans="2:28" x14ac:dyDescent="0.25">
      <c r="B118" s="2" t="s">
        <v>196</v>
      </c>
      <c r="C118" s="68">
        <f>C117/C63</f>
        <v>0.30716846110845847</v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</row>
    <row r="120" spans="2:28" x14ac:dyDescent="0.25">
      <c r="B120" s="38" t="s">
        <v>146</v>
      </c>
      <c r="C120" s="39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</row>
    <row r="121" spans="2:28" ht="14.4" x14ac:dyDescent="0.3">
      <c r="B121" s="90" t="s">
        <v>113</v>
      </c>
    </row>
    <row r="123" spans="2:28" x14ac:dyDescent="0.25">
      <c r="B123" s="123" t="s">
        <v>70</v>
      </c>
      <c r="C123" s="124">
        <v>0</v>
      </c>
      <c r="D123" s="124">
        <f t="shared" ref="D123:AB123" si="59">C134</f>
        <v>195028.21790312583</v>
      </c>
      <c r="E123" s="124">
        <f t="shared" si="59"/>
        <v>176150.41012713654</v>
      </c>
      <c r="F123" s="124">
        <f t="shared" si="59"/>
        <v>156410.1173776802</v>
      </c>
      <c r="G123" s="124">
        <f t="shared" si="59"/>
        <v>136628.19452410768</v>
      </c>
      <c r="H123" s="124">
        <f t="shared" si="59"/>
        <v>116623.79735796477</v>
      </c>
      <c r="I123" s="124">
        <f t="shared" si="59"/>
        <v>96131.377553253464</v>
      </c>
      <c r="J123" s="124">
        <f t="shared" si="59"/>
        <v>75328.549397333831</v>
      </c>
      <c r="K123" s="124">
        <f t="shared" si="59"/>
        <v>54201.807189943152</v>
      </c>
      <c r="L123" s="124">
        <f t="shared" si="59"/>
        <v>32547.390087827902</v>
      </c>
      <c r="M123" s="124">
        <f t="shared" si="59"/>
        <v>10352.080556829962</v>
      </c>
      <c r="N123" s="124">
        <f t="shared" si="59"/>
        <v>-12397.591748647983</v>
      </c>
      <c r="O123" s="124">
        <f t="shared" si="59"/>
        <v>-14262.182291670124</v>
      </c>
      <c r="P123" s="124">
        <f t="shared" si="59"/>
        <v>-16123.965039558545</v>
      </c>
      <c r="Q123" s="124">
        <f t="shared" si="59"/>
        <v>-17987.809082542411</v>
      </c>
      <c r="R123" s="124">
        <f t="shared" si="59"/>
        <v>-19848.826667891604</v>
      </c>
      <c r="S123" s="124">
        <f t="shared" si="59"/>
        <v>-21711.886419272749</v>
      </c>
      <c r="T123" s="124">
        <f t="shared" si="59"/>
        <v>-22852.549929576653</v>
      </c>
      <c r="U123" s="124">
        <f t="shared" si="59"/>
        <v>-23273.246179148191</v>
      </c>
      <c r="V123" s="124">
        <f t="shared" si="59"/>
        <v>-23693.514917025357</v>
      </c>
      <c r="W123" s="124">
        <f t="shared" si="59"/>
        <v>-24113.345455415802</v>
      </c>
      <c r="X123" s="124">
        <f t="shared" si="59"/>
        <v>-24532.726839332354</v>
      </c>
      <c r="Y123" s="124">
        <f t="shared" si="59"/>
        <v>-24603.197391413167</v>
      </c>
      <c r="Z123" s="124">
        <f t="shared" si="59"/>
        <v>-24673.196050574843</v>
      </c>
      <c r="AA123" s="124">
        <f t="shared" si="59"/>
        <v>-24742.711019494411</v>
      </c>
      <c r="AB123" s="124">
        <f t="shared" si="59"/>
        <v>-24811.730205915817</v>
      </c>
    </row>
    <row r="124" spans="2:28" x14ac:dyDescent="0.25">
      <c r="B124" s="36" t="s">
        <v>111</v>
      </c>
      <c r="C124" s="21">
        <f>$C$72</f>
        <v>195028.21790312583</v>
      </c>
      <c r="D124" s="21">
        <v>0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  <c r="V124" s="21">
        <v>0</v>
      </c>
      <c r="W124" s="21">
        <v>0</v>
      </c>
      <c r="X124" s="21">
        <v>0</v>
      </c>
      <c r="Y124" s="21">
        <v>0</v>
      </c>
      <c r="Z124" s="21">
        <v>0</v>
      </c>
      <c r="AA124" s="21">
        <v>0</v>
      </c>
      <c r="AB124" s="21">
        <v>0</v>
      </c>
    </row>
    <row r="125" spans="2:28" x14ac:dyDescent="0.25">
      <c r="B125" s="36" t="s">
        <v>112</v>
      </c>
      <c r="C125" s="21">
        <v>0</v>
      </c>
      <c r="D125" s="21">
        <f t="shared" ref="D125:AB125" si="60">-D67</f>
        <v>-18430.882348031999</v>
      </c>
      <c r="E125" s="21">
        <f t="shared" si="60"/>
        <v>-18891.6544067328</v>
      </c>
      <c r="F125" s="21">
        <f t="shared" si="60"/>
        <v>-19363.945766901114</v>
      </c>
      <c r="G125" s="21">
        <f t="shared" si="60"/>
        <v>-19848.044411073643</v>
      </c>
      <c r="H125" s="21">
        <f t="shared" si="60"/>
        <v>-20344.245521350487</v>
      </c>
      <c r="I125" s="21">
        <f t="shared" si="60"/>
        <v>-20852.851659384251</v>
      </c>
      <c r="J125" s="21">
        <f t="shared" si="60"/>
        <v>-21374.172950868844</v>
      </c>
      <c r="K125" s="21">
        <f t="shared" si="60"/>
        <v>-21908.527274640564</v>
      </c>
      <c r="L125" s="21">
        <f t="shared" si="60"/>
        <v>-22456.240456506581</v>
      </c>
      <c r="M125" s="21">
        <f t="shared" si="60"/>
        <v>-23017.646467919243</v>
      </c>
      <c r="N125" s="21">
        <f t="shared" si="60"/>
        <v>-28016.791560170448</v>
      </c>
      <c r="O125" s="21">
        <f t="shared" si="60"/>
        <v>-28717.2113491747</v>
      </c>
      <c r="P125" s="21">
        <f t="shared" si="60"/>
        <v>-29435.141632904066</v>
      </c>
      <c r="Q125" s="21">
        <f t="shared" si="60"/>
        <v>-30171.020173726662</v>
      </c>
      <c r="R125" s="21">
        <f t="shared" si="60"/>
        <v>-30925.295678069833</v>
      </c>
      <c r="S125" s="21">
        <f t="shared" si="60"/>
        <v>-31698.428070021579</v>
      </c>
      <c r="T125" s="21">
        <f t="shared" si="60"/>
        <v>-32490.888771772115</v>
      </c>
      <c r="U125" s="21">
        <f t="shared" si="60"/>
        <v>-33303.160991066412</v>
      </c>
      <c r="V125" s="21">
        <f t="shared" si="60"/>
        <v>-34135.740015843076</v>
      </c>
      <c r="W125" s="21">
        <f t="shared" si="60"/>
        <v>-34989.133516239141</v>
      </c>
      <c r="X125" s="21">
        <f t="shared" si="60"/>
        <v>-35863.861854145121</v>
      </c>
      <c r="Y125" s="21">
        <f t="shared" si="60"/>
        <v>-36760.458400498748</v>
      </c>
      <c r="Z125" s="21">
        <f t="shared" si="60"/>
        <v>-37679.469860511213</v>
      </c>
      <c r="AA125" s="21">
        <f t="shared" si="60"/>
        <v>-38621.456607023989</v>
      </c>
      <c r="AB125" s="21">
        <f t="shared" si="60"/>
        <v>-39586.993022199582</v>
      </c>
    </row>
    <row r="126" spans="2:28" x14ac:dyDescent="0.25">
      <c r="B126" s="36" t="s">
        <v>220</v>
      </c>
      <c r="C126" s="21">
        <v>0</v>
      </c>
      <c r="D126" s="21">
        <f t="shared" ref="D126:AB126" si="61">D54</f>
        <v>-446.92542795729275</v>
      </c>
      <c r="E126" s="21">
        <f t="shared" si="61"/>
        <v>-848.63834272353301</v>
      </c>
      <c r="F126" s="21">
        <f t="shared" si="61"/>
        <v>-417.97708667142871</v>
      </c>
      <c r="G126" s="21">
        <f t="shared" si="61"/>
        <v>-156.35275506927186</v>
      </c>
      <c r="H126" s="21">
        <f t="shared" si="61"/>
        <v>-148.1742833608113</v>
      </c>
      <c r="I126" s="21">
        <f t="shared" si="61"/>
        <v>50.023503464610847</v>
      </c>
      <c r="J126" s="21">
        <f t="shared" si="61"/>
        <v>247.43074347816847</v>
      </c>
      <c r="K126" s="21">
        <f t="shared" si="61"/>
        <v>254.11017252531497</v>
      </c>
      <c r="L126" s="21">
        <f t="shared" si="61"/>
        <v>260.9309255086402</v>
      </c>
      <c r="M126" s="21">
        <f t="shared" si="61"/>
        <v>267.97416244129846</v>
      </c>
      <c r="N126" s="21">
        <f t="shared" si="61"/>
        <v>26138.44394138968</v>
      </c>
      <c r="O126" s="21">
        <f t="shared" si="61"/>
        <v>26841.301600443934</v>
      </c>
      <c r="P126" s="21">
        <f t="shared" si="61"/>
        <v>27556.794014123294</v>
      </c>
      <c r="Q126" s="21">
        <f t="shared" si="61"/>
        <v>28295.110424995895</v>
      </c>
      <c r="R126" s="21">
        <f t="shared" si="61"/>
        <v>29046.948059289065</v>
      </c>
      <c r="S126" s="21">
        <f t="shared" si="61"/>
        <v>30541.689986040808</v>
      </c>
      <c r="T126" s="21">
        <f t="shared" si="61"/>
        <v>32053.322352541345</v>
      </c>
      <c r="U126" s="21">
        <f t="shared" si="61"/>
        <v>32865.594571835645</v>
      </c>
      <c r="V126" s="21">
        <f t="shared" si="61"/>
        <v>33698.173596612309</v>
      </c>
      <c r="W126" s="21">
        <f t="shared" si="61"/>
        <v>34551.567097008367</v>
      </c>
      <c r="X126" s="21">
        <f t="shared" si="61"/>
        <v>35774.562584914347</v>
      </c>
      <c r="Y126" s="21">
        <f t="shared" si="61"/>
        <v>36671.159131267981</v>
      </c>
      <c r="Z126" s="21">
        <f t="shared" si="61"/>
        <v>37590.170591280439</v>
      </c>
      <c r="AA126" s="21">
        <f t="shared" si="61"/>
        <v>38532.157337793215</v>
      </c>
      <c r="AB126" s="21">
        <f t="shared" si="61"/>
        <v>39497.693752968815</v>
      </c>
    </row>
    <row r="127" spans="2:28" x14ac:dyDescent="0.25">
      <c r="B127" s="149" t="s">
        <v>226</v>
      </c>
      <c r="C127" s="150">
        <f>SUM(C123:C126)</f>
        <v>195028.21790312583</v>
      </c>
      <c r="D127" s="150">
        <f t="shared" ref="D127:AB127" si="62">SUM(D123:D126)</f>
        <v>176150.41012713654</v>
      </c>
      <c r="E127" s="150">
        <f t="shared" si="62"/>
        <v>156410.1173776802</v>
      </c>
      <c r="F127" s="150">
        <f t="shared" si="62"/>
        <v>136628.19452410768</v>
      </c>
      <c r="G127" s="150">
        <f t="shared" si="62"/>
        <v>116623.79735796477</v>
      </c>
      <c r="H127" s="150">
        <f t="shared" si="62"/>
        <v>96131.377553253464</v>
      </c>
      <c r="I127" s="150">
        <f t="shared" si="62"/>
        <v>75328.549397333831</v>
      </c>
      <c r="J127" s="150">
        <f t="shared" si="62"/>
        <v>54201.807189943152</v>
      </c>
      <c r="K127" s="150">
        <f t="shared" si="62"/>
        <v>32547.390087827902</v>
      </c>
      <c r="L127" s="150">
        <f t="shared" si="62"/>
        <v>10352.080556829962</v>
      </c>
      <c r="M127" s="150">
        <f t="shared" si="62"/>
        <v>-12397.591748647983</v>
      </c>
      <c r="N127" s="150">
        <f t="shared" si="62"/>
        <v>-14275.939367428753</v>
      </c>
      <c r="O127" s="150">
        <f t="shared" si="62"/>
        <v>-16138.092040400887</v>
      </c>
      <c r="P127" s="150">
        <f t="shared" si="62"/>
        <v>-18002.31265833932</v>
      </c>
      <c r="Q127" s="150">
        <f t="shared" si="62"/>
        <v>-19863.718831273181</v>
      </c>
      <c r="R127" s="150">
        <f t="shared" si="62"/>
        <v>-21727.174286672376</v>
      </c>
      <c r="S127" s="150">
        <f t="shared" si="62"/>
        <v>-22868.624503253515</v>
      </c>
      <c r="T127" s="150">
        <f t="shared" si="62"/>
        <v>-23290.116348807427</v>
      </c>
      <c r="U127" s="150">
        <f t="shared" si="62"/>
        <v>-23710.812598378958</v>
      </c>
      <c r="V127" s="150">
        <f t="shared" si="62"/>
        <v>-24131.081336256124</v>
      </c>
      <c r="W127" s="150">
        <f t="shared" si="62"/>
        <v>-24550.911874646576</v>
      </c>
      <c r="X127" s="150">
        <f t="shared" si="62"/>
        <v>-24622.026108563128</v>
      </c>
      <c r="Y127" s="150">
        <f t="shared" si="62"/>
        <v>-24692.496660643934</v>
      </c>
      <c r="Z127" s="150">
        <f t="shared" si="62"/>
        <v>-24762.495319805617</v>
      </c>
      <c r="AA127" s="150">
        <f t="shared" si="62"/>
        <v>-24832.010288725185</v>
      </c>
      <c r="AB127" s="150">
        <f t="shared" si="62"/>
        <v>-24901.029475146584</v>
      </c>
    </row>
    <row r="128" spans="2:28" x14ac:dyDescent="0.25">
      <c r="B128" s="53" t="s">
        <v>218</v>
      </c>
      <c r="C128" s="155">
        <f t="shared" ref="C128" si="63">IF(-C127&gt;C137,MIN(-C127-C137,IF(C$42&lt;0,-($N$10*C$42-C$126),($N$10*C$42-C$126))),0)</f>
        <v>0</v>
      </c>
      <c r="D128" s="155">
        <f t="shared" ref="D128" si="64">IF(-D127&gt;D137,MIN(-D127-D137,IF(D$42&lt;0,-($N$10*D$42-D$126),($N$10*D$42-D$126))),0)</f>
        <v>0</v>
      </c>
      <c r="E128" s="155">
        <f t="shared" ref="E128" si="65">IF(-E127&gt;E137,MIN(-E127-E137,IF(E$42&lt;0,-($N$10*E$42-E$126),($N$10*E$42-E$126))),0)</f>
        <v>0</v>
      </c>
      <c r="F128" s="155">
        <f t="shared" ref="F128" si="66">IF(-F127&gt;F137,MIN(-F127-F137,IF(F$42&lt;0,-($N$10*F$42-F$126),($N$10*F$42-F$126))),0)</f>
        <v>0</v>
      </c>
      <c r="G128" s="155">
        <f t="shared" ref="G128" si="67">IF(-G127&gt;G137,MIN(-G127-G137,IF(G$42&lt;0,-($N$10*G$42-G$126),($N$10*G$42-G$126))),0)</f>
        <v>0</v>
      </c>
      <c r="H128" s="155">
        <f t="shared" ref="H128" si="68">IF(-H127&gt;H137,MIN(-H127-H137,IF(H$42&lt;0,-($N$10*H$42-H$126),($N$10*H$42-H$126))),0)</f>
        <v>0</v>
      </c>
      <c r="I128" s="155">
        <f t="shared" ref="I128" si="69">IF(-I127&gt;I137,MIN(-I127-I137,IF(I$42&lt;0,-($N$10*I$42-I$126),($N$10*I$42-I$126))),0)</f>
        <v>0</v>
      </c>
      <c r="J128" s="155">
        <f t="shared" ref="J128" si="70">IF(-J127&gt;J137,MIN(-J127-J137,IF(J$42&lt;0,-($N$10*J$42-J$126),($N$10*J$42-J$126))),0)</f>
        <v>0</v>
      </c>
      <c r="K128" s="155">
        <f t="shared" ref="K128" si="71">IF(-K127&gt;K137,MIN(-K127-K137,IF(K$42&lt;0,-($N$10*K$42-K$126),($N$10*K$42-K$126))),0)</f>
        <v>0</v>
      </c>
      <c r="L128" s="155">
        <f t="shared" ref="L128" si="72">IF(-L127&gt;L137,MIN(-L127-L137,IF(L$42&lt;0,-($N$10*L$42-L$126),($N$10*L$42-L$126))),0)</f>
        <v>0</v>
      </c>
      <c r="M128" s="155">
        <f t="shared" ref="M128" si="73">IF(-M127&gt;M137,MIN(-M127-M137,IF(M$42&lt;0,-($N$10*M$42-M$126),($N$10*M$42-M$126))),0)</f>
        <v>0</v>
      </c>
      <c r="N128" s="155">
        <f t="shared" ref="N128" si="74">IF(-N127&gt;N137,MIN(-N127-N137,IF(N$42&lt;0,-($N$10*N$42-N$126),($N$10*N$42-N$126))),0)</f>
        <v>13.757075758629071</v>
      </c>
      <c r="O128" s="155">
        <f t="shared" ref="O128" si="75">IF(-O127&gt;O137,MIN(-O127-O137,IF(O$42&lt;0,-($N$10*O$42-O$126),($N$10*O$42-O$126))),0)</f>
        <v>14.127000842341658</v>
      </c>
      <c r="P128" s="155">
        <f t="shared" ref="P128" si="76">IF(-P127&gt;P137,MIN(-P127-P137,IF(P$42&lt;0,-($N$10*P$42-P$126),($N$10*P$42-P$126))),0)</f>
        <v>14.50357579690899</v>
      </c>
      <c r="Q128" s="155">
        <f t="shared" ref="Q128" si="77">IF(-Q127&gt;Q137,MIN(-Q127-Q137,IF(Q$42&lt;0,-($N$10*Q$42-Q$126),($N$10*Q$42-Q$126))),0)</f>
        <v>14.89216338157712</v>
      </c>
      <c r="R128" s="155">
        <f t="shared" ref="R128" si="78">IF(-R127&gt;R137,MIN(-R127-R137,IF(R$42&lt;0,-($N$10*R$42-R$126),($N$10*R$42-R$126))),0)</f>
        <v>15.28786739962743</v>
      </c>
      <c r="S128" s="155">
        <f t="shared" ref="S128" si="79">IF(-S127&gt;S137,MIN(-S127-S137,IF(S$42&lt;0,-($N$10*S$42-S$126),($N$10*S$42-S$126))),0)</f>
        <v>16.074573676862201</v>
      </c>
      <c r="T128" s="155">
        <f t="shared" ref="T128" si="80">IF(-T127&gt;T137,MIN(-T127-T137,IF(T$42&lt;0,-($N$10*T$42-T$126),($N$10*T$42-T$126))),0)</f>
        <v>16.870169659236126</v>
      </c>
      <c r="U128" s="155">
        <f t="shared" ref="U128" si="81">IF(-U127&gt;U137,MIN(-U127-U137,IF(U$42&lt;0,-($N$10*U$42-U$126),($N$10*U$42-U$126))),0)</f>
        <v>17.297681353600638</v>
      </c>
      <c r="V128" s="155">
        <f t="shared" ref="V128" si="82">IF(-V127&gt;V137,MIN(-V127-V137,IF(V$42&lt;0,-($N$10*V$42-V$126),($N$10*V$42-V$126))),0)</f>
        <v>17.735880840322352</v>
      </c>
      <c r="W128" s="155">
        <f t="shared" ref="W128" si="83">IF(-W127&gt;W137,MIN(-W127-W137,IF(W$42&lt;0,-($N$10*W$42-W$126),($N$10*W$42-W$126))),0)</f>
        <v>18.18503531422175</v>
      </c>
      <c r="X128" s="155">
        <f t="shared" ref="X128" si="84">IF(-X127&gt;X137,MIN(-X127-X137,IF(X$42&lt;0,-($N$10*X$42-X$126),($N$10*X$42-X$126))),0)</f>
        <v>18.828717149961449</v>
      </c>
      <c r="Y128" s="155">
        <f t="shared" ref="Y128" si="85">IF(-Y127&gt;Y137,MIN(-Y127-Y137,IF(Y$42&lt;0,-($N$10*Y$42-Y$126),($N$10*Y$42-Y$126))),0)</f>
        <v>19.300610069090908</v>
      </c>
      <c r="Z128" s="155">
        <f t="shared" ref="Z128" si="86">IF(-Z127&gt;Z137,MIN(-Z127-Z137,IF(Z$42&lt;0,-($N$10*Z$42-Z$126),($N$10*Z$42-Z$126))),0)</f>
        <v>19.784300311206607</v>
      </c>
      <c r="AA128" s="155">
        <f t="shared" ref="AA128" si="87">IF(-AA127&gt;AA137,MIN(-AA127-AA137,IF(AA$42&lt;0,-($N$10*AA$42-AA$126),($N$10*AA$42-AA$126))),0)</f>
        <v>20.280082809367741</v>
      </c>
      <c r="AB128" s="155">
        <f t="shared" ref="AB128" si="88">IF(-AB127&gt;AB137,MIN(-AB127-AB137,IF(AB$42&lt;0,-($N$10*AB$42-AB$126),($N$10*AB$42-AB$126))),0)</f>
        <v>20.788259869987087</v>
      </c>
    </row>
    <row r="129" spans="2:28" x14ac:dyDescent="0.25">
      <c r="B129" s="53" t="s">
        <v>217</v>
      </c>
      <c r="C129" s="155">
        <f>-C104</f>
        <v>0</v>
      </c>
      <c r="D129" s="155">
        <f t="shared" ref="D129:AB129" si="89">-D104</f>
        <v>0</v>
      </c>
      <c r="E129" s="155">
        <f t="shared" si="89"/>
        <v>0</v>
      </c>
      <c r="F129" s="155">
        <f t="shared" si="89"/>
        <v>0</v>
      </c>
      <c r="G129" s="155">
        <f t="shared" si="89"/>
        <v>0</v>
      </c>
      <c r="H129" s="155">
        <f t="shared" si="89"/>
        <v>0</v>
      </c>
      <c r="I129" s="155">
        <f t="shared" si="89"/>
        <v>0</v>
      </c>
      <c r="J129" s="155">
        <f t="shared" si="89"/>
        <v>0</v>
      </c>
      <c r="K129" s="155">
        <f t="shared" si="89"/>
        <v>0</v>
      </c>
      <c r="L129" s="155">
        <f t="shared" si="89"/>
        <v>0</v>
      </c>
      <c r="M129" s="155">
        <f t="shared" si="89"/>
        <v>0</v>
      </c>
      <c r="N129" s="155">
        <f t="shared" si="89"/>
        <v>0</v>
      </c>
      <c r="O129" s="155">
        <f t="shared" si="89"/>
        <v>0</v>
      </c>
      <c r="P129" s="155">
        <f t="shared" si="89"/>
        <v>0</v>
      </c>
      <c r="Q129" s="155">
        <f t="shared" si="89"/>
        <v>0</v>
      </c>
      <c r="R129" s="155">
        <f t="shared" si="89"/>
        <v>0</v>
      </c>
      <c r="S129" s="155">
        <f t="shared" si="89"/>
        <v>0</v>
      </c>
      <c r="T129" s="155">
        <f t="shared" si="89"/>
        <v>0</v>
      </c>
      <c r="U129" s="155">
        <f t="shared" si="89"/>
        <v>0</v>
      </c>
      <c r="V129" s="155">
        <f t="shared" si="89"/>
        <v>0</v>
      </c>
      <c r="W129" s="155">
        <f t="shared" si="89"/>
        <v>0</v>
      </c>
      <c r="X129" s="155">
        <f t="shared" si="89"/>
        <v>0</v>
      </c>
      <c r="Y129" s="155">
        <f t="shared" si="89"/>
        <v>0</v>
      </c>
      <c r="Z129" s="155">
        <f t="shared" si="89"/>
        <v>0</v>
      </c>
      <c r="AA129" s="155">
        <f t="shared" si="89"/>
        <v>0</v>
      </c>
      <c r="AB129" s="155">
        <f t="shared" si="89"/>
        <v>0</v>
      </c>
    </row>
    <row r="130" spans="2:28" x14ac:dyDescent="0.25">
      <c r="B130" s="53" t="s">
        <v>219</v>
      </c>
      <c r="C130" s="155">
        <f>-C106</f>
        <v>0</v>
      </c>
      <c r="D130" s="155">
        <f t="shared" ref="D130:AB130" si="90">-D106</f>
        <v>0</v>
      </c>
      <c r="E130" s="155">
        <f t="shared" si="90"/>
        <v>0</v>
      </c>
      <c r="F130" s="155">
        <f t="shared" si="90"/>
        <v>0</v>
      </c>
      <c r="G130" s="155">
        <f t="shared" si="90"/>
        <v>0</v>
      </c>
      <c r="H130" s="155">
        <f t="shared" si="90"/>
        <v>0</v>
      </c>
      <c r="I130" s="155">
        <f t="shared" si="90"/>
        <v>0</v>
      </c>
      <c r="J130" s="155">
        <f t="shared" si="90"/>
        <v>0</v>
      </c>
      <c r="K130" s="155">
        <f t="shared" si="90"/>
        <v>0</v>
      </c>
      <c r="L130" s="155">
        <f t="shared" si="90"/>
        <v>0</v>
      </c>
      <c r="M130" s="155">
        <f t="shared" si="90"/>
        <v>0</v>
      </c>
      <c r="N130" s="155">
        <f t="shared" si="90"/>
        <v>0</v>
      </c>
      <c r="O130" s="155">
        <f t="shared" si="90"/>
        <v>0</v>
      </c>
      <c r="P130" s="155">
        <f t="shared" si="90"/>
        <v>0</v>
      </c>
      <c r="Q130" s="155">
        <f t="shared" si="90"/>
        <v>0</v>
      </c>
      <c r="R130" s="155">
        <f t="shared" si="90"/>
        <v>0</v>
      </c>
      <c r="S130" s="155">
        <f t="shared" si="90"/>
        <v>0</v>
      </c>
      <c r="T130" s="155">
        <f t="shared" si="90"/>
        <v>0</v>
      </c>
      <c r="U130" s="155">
        <f t="shared" si="90"/>
        <v>0</v>
      </c>
      <c r="V130" s="155">
        <f t="shared" si="90"/>
        <v>0</v>
      </c>
      <c r="W130" s="155">
        <f t="shared" si="90"/>
        <v>0</v>
      </c>
      <c r="X130" s="155">
        <f t="shared" si="90"/>
        <v>0</v>
      </c>
      <c r="Y130" s="155">
        <f t="shared" si="90"/>
        <v>0</v>
      </c>
      <c r="Z130" s="155">
        <f t="shared" si="90"/>
        <v>0</v>
      </c>
      <c r="AA130" s="155">
        <f t="shared" si="90"/>
        <v>0</v>
      </c>
      <c r="AB130" s="155">
        <f t="shared" si="90"/>
        <v>0</v>
      </c>
    </row>
    <row r="131" spans="2:28" x14ac:dyDescent="0.25">
      <c r="B131" s="149" t="s">
        <v>221</v>
      </c>
      <c r="C131" s="150">
        <f>SUM(C126,C128:C130)</f>
        <v>0</v>
      </c>
      <c r="D131" s="150">
        <f t="shared" ref="D131:AB131" si="91">SUM(D126,D128:D130)</f>
        <v>-446.92542795729275</v>
      </c>
      <c r="E131" s="150">
        <f t="shared" si="91"/>
        <v>-848.63834272353301</v>
      </c>
      <c r="F131" s="150">
        <f t="shared" si="91"/>
        <v>-417.97708667142871</v>
      </c>
      <c r="G131" s="150">
        <f t="shared" si="91"/>
        <v>-156.35275506927186</v>
      </c>
      <c r="H131" s="150">
        <f t="shared" si="91"/>
        <v>-148.1742833608113</v>
      </c>
      <c r="I131" s="150">
        <f t="shared" si="91"/>
        <v>50.023503464610847</v>
      </c>
      <c r="J131" s="150">
        <f t="shared" si="91"/>
        <v>247.43074347816847</v>
      </c>
      <c r="K131" s="150">
        <f t="shared" si="91"/>
        <v>254.11017252531497</v>
      </c>
      <c r="L131" s="150">
        <f t="shared" si="91"/>
        <v>260.9309255086402</v>
      </c>
      <c r="M131" s="150">
        <f t="shared" si="91"/>
        <v>267.97416244129846</v>
      </c>
      <c r="N131" s="150">
        <f t="shared" si="91"/>
        <v>26152.201017148309</v>
      </c>
      <c r="O131" s="150">
        <f t="shared" si="91"/>
        <v>26855.428601286276</v>
      </c>
      <c r="P131" s="150">
        <f t="shared" si="91"/>
        <v>27571.297589920203</v>
      </c>
      <c r="Q131" s="150">
        <f t="shared" si="91"/>
        <v>28310.002588377472</v>
      </c>
      <c r="R131" s="150">
        <f t="shared" si="91"/>
        <v>29062.235926688692</v>
      </c>
      <c r="S131" s="150">
        <f t="shared" si="91"/>
        <v>30557.764559717671</v>
      </c>
      <c r="T131" s="150">
        <f t="shared" si="91"/>
        <v>32070.192522200581</v>
      </c>
      <c r="U131" s="150">
        <f t="shared" si="91"/>
        <v>32882.892253189246</v>
      </c>
      <c r="V131" s="150">
        <f t="shared" si="91"/>
        <v>33715.909477452631</v>
      </c>
      <c r="W131" s="150">
        <f t="shared" si="91"/>
        <v>34569.752132322588</v>
      </c>
      <c r="X131" s="150">
        <f t="shared" si="91"/>
        <v>35793.391302064309</v>
      </c>
      <c r="Y131" s="150">
        <f t="shared" si="91"/>
        <v>36690.459741337072</v>
      </c>
      <c r="Z131" s="150">
        <f t="shared" si="91"/>
        <v>37609.954891591646</v>
      </c>
      <c r="AA131" s="150">
        <f t="shared" si="91"/>
        <v>38552.437420602582</v>
      </c>
      <c r="AB131" s="150">
        <f t="shared" si="91"/>
        <v>39518.482012838802</v>
      </c>
    </row>
    <row r="132" spans="2:28" x14ac:dyDescent="0.25">
      <c r="B132" s="149" t="s">
        <v>225</v>
      </c>
      <c r="C132" s="150">
        <f>SUM(C123:C125,C131)</f>
        <v>195028.21790312583</v>
      </c>
      <c r="D132" s="150">
        <f t="shared" ref="D132:AB132" si="92">SUM(D123:D125,D131)</f>
        <v>176150.41012713654</v>
      </c>
      <c r="E132" s="150">
        <f t="shared" si="92"/>
        <v>156410.1173776802</v>
      </c>
      <c r="F132" s="150">
        <f t="shared" si="92"/>
        <v>136628.19452410768</v>
      </c>
      <c r="G132" s="150">
        <f t="shared" si="92"/>
        <v>116623.79735796477</v>
      </c>
      <c r="H132" s="150">
        <f t="shared" si="92"/>
        <v>96131.377553253464</v>
      </c>
      <c r="I132" s="150">
        <f t="shared" si="92"/>
        <v>75328.549397333831</v>
      </c>
      <c r="J132" s="150">
        <f t="shared" si="92"/>
        <v>54201.807189943152</v>
      </c>
      <c r="K132" s="150">
        <f t="shared" si="92"/>
        <v>32547.390087827902</v>
      </c>
      <c r="L132" s="150">
        <f t="shared" si="92"/>
        <v>10352.080556829962</v>
      </c>
      <c r="M132" s="150">
        <f t="shared" si="92"/>
        <v>-12397.591748647983</v>
      </c>
      <c r="N132" s="150">
        <f t="shared" si="92"/>
        <v>-14262.182291670124</v>
      </c>
      <c r="O132" s="150">
        <f t="shared" si="92"/>
        <v>-16123.965039558545</v>
      </c>
      <c r="P132" s="150">
        <f t="shared" si="92"/>
        <v>-17987.809082542411</v>
      </c>
      <c r="Q132" s="150">
        <f t="shared" si="92"/>
        <v>-19848.826667891604</v>
      </c>
      <c r="R132" s="150">
        <f t="shared" si="92"/>
        <v>-21711.886419272749</v>
      </c>
      <c r="S132" s="150">
        <f t="shared" si="92"/>
        <v>-22852.549929576653</v>
      </c>
      <c r="T132" s="150">
        <f t="shared" si="92"/>
        <v>-23273.246179148191</v>
      </c>
      <c r="U132" s="150">
        <f t="shared" si="92"/>
        <v>-23693.514917025357</v>
      </c>
      <c r="V132" s="150">
        <f t="shared" si="92"/>
        <v>-24113.345455415802</v>
      </c>
      <c r="W132" s="150">
        <f t="shared" si="92"/>
        <v>-24532.726839332354</v>
      </c>
      <c r="X132" s="150">
        <f t="shared" si="92"/>
        <v>-24603.197391413167</v>
      </c>
      <c r="Y132" s="150">
        <f t="shared" si="92"/>
        <v>-24673.196050574843</v>
      </c>
      <c r="Z132" s="150">
        <f t="shared" si="92"/>
        <v>-24742.711019494411</v>
      </c>
      <c r="AA132" s="150">
        <f t="shared" si="92"/>
        <v>-24811.730205915817</v>
      </c>
      <c r="AB132" s="150">
        <f t="shared" si="92"/>
        <v>-24880.241215276597</v>
      </c>
    </row>
    <row r="133" spans="2:28" x14ac:dyDescent="0.25">
      <c r="B133" s="147" t="s">
        <v>247</v>
      </c>
      <c r="C133" s="159">
        <v>0</v>
      </c>
      <c r="D133" s="159">
        <v>0</v>
      </c>
      <c r="E133" s="159">
        <v>0</v>
      </c>
      <c r="F133" s="159">
        <v>0</v>
      </c>
      <c r="G133" s="159">
        <v>0</v>
      </c>
      <c r="H133" s="159">
        <v>0</v>
      </c>
      <c r="I133" s="159">
        <v>0</v>
      </c>
      <c r="J133" s="159">
        <v>0</v>
      </c>
      <c r="K133" s="159">
        <v>0</v>
      </c>
      <c r="L133" s="159">
        <v>0</v>
      </c>
      <c r="M133" s="159">
        <v>0</v>
      </c>
      <c r="N133" s="159">
        <v>0</v>
      </c>
      <c r="O133" s="159">
        <v>0</v>
      </c>
      <c r="P133" s="159">
        <v>0</v>
      </c>
      <c r="Q133" s="159">
        <v>0</v>
      </c>
      <c r="R133" s="159">
        <v>0</v>
      </c>
      <c r="S133" s="159">
        <v>0</v>
      </c>
      <c r="T133" s="159">
        <v>0</v>
      </c>
      <c r="U133" s="159">
        <v>0</v>
      </c>
      <c r="V133" s="159">
        <v>0</v>
      </c>
      <c r="W133" s="159">
        <v>0</v>
      </c>
      <c r="X133" s="159">
        <v>0</v>
      </c>
      <c r="Y133" s="159">
        <v>0</v>
      </c>
      <c r="Z133" s="159">
        <v>0</v>
      </c>
      <c r="AA133" s="159">
        <v>0</v>
      </c>
      <c r="AB133" s="159">
        <f>-AB132</f>
        <v>24880.241215276597</v>
      </c>
    </row>
    <row r="134" spans="2:28" ht="14.4" thickBot="1" x14ac:dyDescent="0.3">
      <c r="B134" s="125" t="s">
        <v>71</v>
      </c>
      <c r="C134" s="151">
        <f>SUM(C132:C133)</f>
        <v>195028.21790312583</v>
      </c>
      <c r="D134" s="151">
        <f t="shared" ref="D134:AA134" si="93">SUM(D132:D133)</f>
        <v>176150.41012713654</v>
      </c>
      <c r="E134" s="151">
        <f t="shared" si="93"/>
        <v>156410.1173776802</v>
      </c>
      <c r="F134" s="151">
        <f t="shared" si="93"/>
        <v>136628.19452410768</v>
      </c>
      <c r="G134" s="151">
        <f t="shared" si="93"/>
        <v>116623.79735796477</v>
      </c>
      <c r="H134" s="151">
        <f t="shared" si="93"/>
        <v>96131.377553253464</v>
      </c>
      <c r="I134" s="151">
        <f t="shared" si="93"/>
        <v>75328.549397333831</v>
      </c>
      <c r="J134" s="151">
        <f t="shared" si="93"/>
        <v>54201.807189943152</v>
      </c>
      <c r="K134" s="151">
        <f t="shared" si="93"/>
        <v>32547.390087827902</v>
      </c>
      <c r="L134" s="151">
        <f t="shared" si="93"/>
        <v>10352.080556829962</v>
      </c>
      <c r="M134" s="151">
        <f t="shared" si="93"/>
        <v>-12397.591748647983</v>
      </c>
      <c r="N134" s="151">
        <f t="shared" si="93"/>
        <v>-14262.182291670124</v>
      </c>
      <c r="O134" s="151">
        <f t="shared" si="93"/>
        <v>-16123.965039558545</v>
      </c>
      <c r="P134" s="151">
        <f t="shared" si="93"/>
        <v>-17987.809082542411</v>
      </c>
      <c r="Q134" s="151">
        <f t="shared" si="93"/>
        <v>-19848.826667891604</v>
      </c>
      <c r="R134" s="151">
        <f t="shared" si="93"/>
        <v>-21711.886419272749</v>
      </c>
      <c r="S134" s="151">
        <f t="shared" si="93"/>
        <v>-22852.549929576653</v>
      </c>
      <c r="T134" s="151">
        <f t="shared" si="93"/>
        <v>-23273.246179148191</v>
      </c>
      <c r="U134" s="151">
        <f t="shared" si="93"/>
        <v>-23693.514917025357</v>
      </c>
      <c r="V134" s="151">
        <f t="shared" si="93"/>
        <v>-24113.345455415802</v>
      </c>
      <c r="W134" s="151">
        <f t="shared" si="93"/>
        <v>-24532.726839332354</v>
      </c>
      <c r="X134" s="151">
        <f t="shared" si="93"/>
        <v>-24603.197391413167</v>
      </c>
      <c r="Y134" s="151">
        <f t="shared" si="93"/>
        <v>-24673.196050574843</v>
      </c>
      <c r="Z134" s="151">
        <f t="shared" si="93"/>
        <v>-24742.711019494411</v>
      </c>
      <c r="AA134" s="151">
        <f t="shared" si="93"/>
        <v>-24811.730205915817</v>
      </c>
      <c r="AB134" s="151">
        <f>SUM(AB132:AB133)</f>
        <v>0</v>
      </c>
    </row>
    <row r="135" spans="2:28" ht="14.4" thickTop="1" x14ac:dyDescent="0.25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2:28" x14ac:dyDescent="0.25">
      <c r="B136" s="15" t="s">
        <v>198</v>
      </c>
      <c r="C136" s="21"/>
    </row>
    <row r="137" spans="2:28" x14ac:dyDescent="0.25">
      <c r="B137" s="2" t="s">
        <v>199</v>
      </c>
      <c r="C137" s="21">
        <f>$O$14</f>
        <v>29999.999999999996</v>
      </c>
      <c r="D137" s="21">
        <f>C137</f>
        <v>29999.999999999996</v>
      </c>
      <c r="E137" s="21">
        <f>D137</f>
        <v>29999.999999999996</v>
      </c>
      <c r="F137" s="21">
        <f t="shared" ref="F137:M137" si="94">E137</f>
        <v>29999.999999999996</v>
      </c>
      <c r="G137" s="21">
        <f t="shared" si="94"/>
        <v>29999.999999999996</v>
      </c>
      <c r="H137" s="21">
        <f t="shared" si="94"/>
        <v>29999.999999999996</v>
      </c>
      <c r="I137" s="21">
        <f t="shared" si="94"/>
        <v>29999.999999999996</v>
      </c>
      <c r="J137" s="21">
        <f t="shared" si="94"/>
        <v>29999.999999999996</v>
      </c>
      <c r="K137" s="21">
        <f t="shared" si="94"/>
        <v>29999.999999999996</v>
      </c>
      <c r="L137" s="21">
        <f t="shared" si="94"/>
        <v>29999.999999999996</v>
      </c>
      <c r="M137" s="21">
        <f t="shared" si="94"/>
        <v>29999.999999999996</v>
      </c>
      <c r="N137" s="21">
        <v>0</v>
      </c>
      <c r="O137" s="21">
        <v>0</v>
      </c>
      <c r="P137" s="21">
        <v>0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  <c r="V137" s="21">
        <v>0</v>
      </c>
      <c r="W137" s="21">
        <v>0</v>
      </c>
      <c r="X137" s="21">
        <v>0</v>
      </c>
      <c r="Y137" s="21">
        <v>0</v>
      </c>
      <c r="Z137" s="21">
        <v>0</v>
      </c>
      <c r="AA137" s="21">
        <v>0</v>
      </c>
      <c r="AB137" s="21">
        <v>0</v>
      </c>
    </row>
    <row r="138" spans="2:28" x14ac:dyDescent="0.25">
      <c r="B138" s="2" t="s">
        <v>197</v>
      </c>
      <c r="C138" s="68">
        <f>C137/C72</f>
        <v>0.15382389442178854</v>
      </c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</row>
    <row r="139" spans="2:28" x14ac:dyDescent="0.25">
      <c r="B139" s="15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2:28" x14ac:dyDescent="0.25">
      <c r="B140" s="2" t="s">
        <v>194</v>
      </c>
      <c r="C140" s="21"/>
      <c r="D140" s="21">
        <f>-MIN(D134,0)</f>
        <v>0</v>
      </c>
      <c r="E140" s="21">
        <f t="shared" ref="E140:AA140" si="95">-MIN(E134,0)</f>
        <v>0</v>
      </c>
      <c r="F140" s="21">
        <f t="shared" si="95"/>
        <v>0</v>
      </c>
      <c r="G140" s="21">
        <f t="shared" si="95"/>
        <v>0</v>
      </c>
      <c r="H140" s="21">
        <f t="shared" si="95"/>
        <v>0</v>
      </c>
      <c r="I140" s="21">
        <f t="shared" si="95"/>
        <v>0</v>
      </c>
      <c r="J140" s="21">
        <f t="shared" si="95"/>
        <v>0</v>
      </c>
      <c r="K140" s="21">
        <f t="shared" si="95"/>
        <v>0</v>
      </c>
      <c r="L140" s="21">
        <f t="shared" si="95"/>
        <v>0</v>
      </c>
      <c r="M140" s="21">
        <f t="shared" si="95"/>
        <v>12397.591748647983</v>
      </c>
      <c r="N140" s="21">
        <f t="shared" si="95"/>
        <v>14262.182291670124</v>
      </c>
      <c r="O140" s="21">
        <f t="shared" si="95"/>
        <v>16123.965039558545</v>
      </c>
      <c r="P140" s="21">
        <f t="shared" si="95"/>
        <v>17987.809082542411</v>
      </c>
      <c r="Q140" s="21">
        <f t="shared" si="95"/>
        <v>19848.826667891604</v>
      </c>
      <c r="R140" s="21">
        <f t="shared" si="95"/>
        <v>21711.886419272749</v>
      </c>
      <c r="S140" s="21">
        <f t="shared" si="95"/>
        <v>22852.549929576653</v>
      </c>
      <c r="T140" s="21">
        <f t="shared" si="95"/>
        <v>23273.246179148191</v>
      </c>
      <c r="U140" s="21">
        <f t="shared" si="95"/>
        <v>23693.514917025357</v>
      </c>
      <c r="V140" s="21">
        <f t="shared" si="95"/>
        <v>24113.345455415802</v>
      </c>
      <c r="W140" s="21">
        <f t="shared" si="95"/>
        <v>24532.726839332354</v>
      </c>
      <c r="X140" s="21">
        <f t="shared" si="95"/>
        <v>24603.197391413167</v>
      </c>
      <c r="Y140" s="21">
        <f t="shared" si="95"/>
        <v>24673.196050574843</v>
      </c>
      <c r="Z140" s="21">
        <f t="shared" si="95"/>
        <v>24742.711019494411</v>
      </c>
      <c r="AA140" s="21">
        <f t="shared" si="95"/>
        <v>24811.730205915817</v>
      </c>
      <c r="AB140" s="21">
        <f t="shared" ref="AB140" si="96">-MIN(AB134,0)</f>
        <v>0</v>
      </c>
    </row>
    <row r="141" spans="2:28" x14ac:dyDescent="0.25">
      <c r="B141" s="2" t="s">
        <v>195</v>
      </c>
      <c r="C141" s="20">
        <f>MAX(D140:AA140)</f>
        <v>24811.730205915817</v>
      </c>
    </row>
    <row r="142" spans="2:28" x14ac:dyDescent="0.25">
      <c r="B142" s="2" t="s">
        <v>196</v>
      </c>
      <c r="C142" s="68">
        <f>C141/C72</f>
        <v>0.1272212322538899</v>
      </c>
    </row>
    <row r="144" spans="2:28" x14ac:dyDescent="0.25">
      <c r="B144" s="38" t="s">
        <v>167</v>
      </c>
      <c r="C144" s="39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</row>
    <row r="146" spans="2:28" x14ac:dyDescent="0.25">
      <c r="B146" s="123" t="s">
        <v>70</v>
      </c>
      <c r="C146" s="124">
        <v>0</v>
      </c>
      <c r="D146" s="124">
        <f t="shared" ref="D146:W146" si="97">C159</f>
        <v>171568.78209687411</v>
      </c>
      <c r="E146" s="124">
        <f t="shared" si="97"/>
        <v>122715.44414209417</v>
      </c>
      <c r="F146" s="124">
        <f t="shared" si="97"/>
        <v>33977.334610781269</v>
      </c>
      <c r="G146" s="124">
        <f t="shared" si="97"/>
        <v>0</v>
      </c>
      <c r="H146" s="124">
        <f t="shared" si="97"/>
        <v>0</v>
      </c>
      <c r="I146" s="124">
        <f t="shared" si="97"/>
        <v>0</v>
      </c>
      <c r="J146" s="124">
        <f t="shared" si="97"/>
        <v>0</v>
      </c>
      <c r="K146" s="124">
        <f t="shared" si="97"/>
        <v>0</v>
      </c>
      <c r="L146" s="124">
        <f t="shared" si="97"/>
        <v>0</v>
      </c>
      <c r="M146" s="124">
        <f t="shared" si="97"/>
        <v>16658.416923202549</v>
      </c>
      <c r="N146" s="124">
        <f t="shared" si="97"/>
        <v>37433.447387911263</v>
      </c>
      <c r="O146" s="124">
        <f t="shared" si="97"/>
        <v>37320.829911164175</v>
      </c>
      <c r="P146" s="124">
        <f t="shared" si="97"/>
        <v>37207.970818283371</v>
      </c>
      <c r="Q146" s="124">
        <f t="shared" si="97"/>
        <v>37094.606841498004</v>
      </c>
      <c r="R146" s="124">
        <f t="shared" si="97"/>
        <v>36980.98258607796</v>
      </c>
      <c r="S146" s="124">
        <f t="shared" si="97"/>
        <v>36866.834317689871</v>
      </c>
      <c r="T146" s="124">
        <f t="shared" si="97"/>
        <v>36789.878792224554</v>
      </c>
      <c r="U146" s="124">
        <f t="shared" si="97"/>
        <v>36749.978811026856</v>
      </c>
      <c r="V146" s="124">
        <f t="shared" si="97"/>
        <v>36709.651318134798</v>
      </c>
      <c r="W146" s="124">
        <f t="shared" si="97"/>
        <v>36668.885625756018</v>
      </c>
      <c r="X146" s="124">
        <f t="shared" ref="X146:AB146" si="98">W159</f>
        <v>36627.670778903332</v>
      </c>
      <c r="Y146" s="124">
        <f t="shared" si="98"/>
        <v>36604.142100214907</v>
      </c>
      <c r="Z146" s="124">
        <f t="shared" si="98"/>
        <v>36580.141528607353</v>
      </c>
      <c r="AA146" s="124">
        <f t="shared" si="98"/>
        <v>36555.657266757684</v>
      </c>
      <c r="AB146" s="124">
        <f t="shared" si="98"/>
        <v>36530.677222409853</v>
      </c>
    </row>
    <row r="147" spans="2:28" x14ac:dyDescent="0.25">
      <c r="B147" s="36" t="s">
        <v>111</v>
      </c>
      <c r="C147" s="20">
        <f>$C$63</f>
        <v>171568.78209687411</v>
      </c>
      <c r="D147" s="20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0">
        <v>0</v>
      </c>
      <c r="S147" s="20">
        <v>0</v>
      </c>
      <c r="T147" s="20">
        <v>0</v>
      </c>
      <c r="U147" s="20">
        <v>0</v>
      </c>
      <c r="V147" s="20">
        <v>0</v>
      </c>
      <c r="W147" s="20">
        <v>0</v>
      </c>
      <c r="X147" s="20">
        <v>0</v>
      </c>
      <c r="Y147" s="20">
        <v>0</v>
      </c>
      <c r="Z147" s="20">
        <v>0</v>
      </c>
      <c r="AA147" s="20">
        <v>0</v>
      </c>
      <c r="AB147" s="20">
        <v>0</v>
      </c>
    </row>
    <row r="148" spans="2:28" x14ac:dyDescent="0.25">
      <c r="B148" s="36" t="s">
        <v>112</v>
      </c>
      <c r="C148" s="20">
        <f>C101</f>
        <v>0</v>
      </c>
      <c r="D148" s="20">
        <f t="shared" ref="D148:AB148" si="99">D101</f>
        <v>-4607.7205870079997</v>
      </c>
      <c r="E148" s="20">
        <f t="shared" si="99"/>
        <v>-4722.9136016831999</v>
      </c>
      <c r="F148" s="20">
        <f t="shared" si="99"/>
        <v>-4840.9864417252784</v>
      </c>
      <c r="G148" s="20">
        <f t="shared" si="99"/>
        <v>-4962.0111027684106</v>
      </c>
      <c r="H148" s="20">
        <f t="shared" si="99"/>
        <v>-5086.0613803376218</v>
      </c>
      <c r="I148" s="20">
        <f t="shared" si="99"/>
        <v>-5213.2129148460626</v>
      </c>
      <c r="J148" s="20">
        <f t="shared" si="99"/>
        <v>-5343.543237717211</v>
      </c>
      <c r="K148" s="20">
        <f t="shared" si="99"/>
        <v>-5477.1318186601411</v>
      </c>
      <c r="L148" s="20">
        <f t="shared" si="99"/>
        <v>-5614.0601141266452</v>
      </c>
      <c r="M148" s="20">
        <f t="shared" si="99"/>
        <v>-5754.4116169798108</v>
      </c>
      <c r="N148" s="20">
        <f t="shared" si="99"/>
        <v>-1474.5679768510763</v>
      </c>
      <c r="O148" s="20">
        <f t="shared" si="99"/>
        <v>-1511.432176272353</v>
      </c>
      <c r="P148" s="20">
        <f t="shared" si="99"/>
        <v>-1549.2179806791614</v>
      </c>
      <c r="Q148" s="20">
        <f t="shared" si="99"/>
        <v>-1587.9484301961402</v>
      </c>
      <c r="R148" s="20">
        <f t="shared" si="99"/>
        <v>-1627.6471409510441</v>
      </c>
      <c r="S148" s="20">
        <f t="shared" si="99"/>
        <v>-1668.3383194748201</v>
      </c>
      <c r="T148" s="20">
        <f t="shared" si="99"/>
        <v>-1710.0467774616905</v>
      </c>
      <c r="U148" s="20">
        <f t="shared" si="99"/>
        <v>-1752.7979468982326</v>
      </c>
      <c r="V148" s="20">
        <f t="shared" si="99"/>
        <v>-1796.6178955706885</v>
      </c>
      <c r="W148" s="20">
        <f t="shared" si="99"/>
        <v>-1841.533342959955</v>
      </c>
      <c r="X148" s="20">
        <f t="shared" si="99"/>
        <v>-1887.5716765339539</v>
      </c>
      <c r="Y148" s="20">
        <f t="shared" si="99"/>
        <v>-1934.7609684473027</v>
      </c>
      <c r="Z148" s="20">
        <f t="shared" si="99"/>
        <v>-1983.129992658485</v>
      </c>
      <c r="AA148" s="20">
        <f t="shared" si="99"/>
        <v>-2032.7082424749469</v>
      </c>
      <c r="AB148" s="20">
        <f t="shared" si="99"/>
        <v>-2083.5259485368201</v>
      </c>
    </row>
    <row r="149" spans="2:28" x14ac:dyDescent="0.25">
      <c r="B149" s="36" t="s">
        <v>230</v>
      </c>
      <c r="C149" s="20">
        <f>MAX(C107,0)</f>
        <v>0</v>
      </c>
      <c r="D149" s="20">
        <f t="shared" ref="D149:AA149" si="100">MAX(D107,0)</f>
        <v>0</v>
      </c>
      <c r="E149" s="20">
        <f t="shared" si="100"/>
        <v>0</v>
      </c>
      <c r="F149" s="20">
        <f t="shared" si="100"/>
        <v>0</v>
      </c>
      <c r="G149" s="20">
        <f t="shared" si="100"/>
        <v>0</v>
      </c>
      <c r="H149" s="20">
        <f t="shared" si="100"/>
        <v>0</v>
      </c>
      <c r="I149" s="20">
        <f t="shared" si="100"/>
        <v>4952.3268429964692</v>
      </c>
      <c r="J149" s="20">
        <f t="shared" si="100"/>
        <v>24495.643604338657</v>
      </c>
      <c r="K149" s="20">
        <f t="shared" si="100"/>
        <v>25156.90708000616</v>
      </c>
      <c r="L149" s="20">
        <f t="shared" si="100"/>
        <v>25832.161625355355</v>
      </c>
      <c r="M149" s="20">
        <f t="shared" si="100"/>
        <v>26529.442081688521</v>
      </c>
      <c r="N149" s="20">
        <f t="shared" si="100"/>
        <v>1361.9505001039859</v>
      </c>
      <c r="O149" s="20">
        <f t="shared" si="100"/>
        <v>1398.5730833915497</v>
      </c>
      <c r="P149" s="20">
        <f t="shared" si="100"/>
        <v>1435.8540038937908</v>
      </c>
      <c r="Q149" s="20">
        <f t="shared" si="100"/>
        <v>1474.3241747761017</v>
      </c>
      <c r="R149" s="20">
        <f t="shared" si="100"/>
        <v>1513.4988725629551</v>
      </c>
      <c r="S149" s="20">
        <f t="shared" si="100"/>
        <v>1591.3827940094961</v>
      </c>
      <c r="T149" s="20">
        <f t="shared" si="100"/>
        <v>1670.1467962639927</v>
      </c>
      <c r="U149" s="20">
        <f t="shared" si="100"/>
        <v>1712.4704540061703</v>
      </c>
      <c r="V149" s="20">
        <f t="shared" si="100"/>
        <v>1755.8522031919047</v>
      </c>
      <c r="W149" s="20">
        <f t="shared" si="100"/>
        <v>1800.3184961072716</v>
      </c>
      <c r="X149" s="20">
        <f t="shared" si="100"/>
        <v>1864.0429978455309</v>
      </c>
      <c r="Y149" s="20">
        <f t="shared" si="100"/>
        <v>1910.7603968397505</v>
      </c>
      <c r="Z149" s="20">
        <f t="shared" si="100"/>
        <v>1958.6457308088168</v>
      </c>
      <c r="AA149" s="20">
        <f t="shared" si="100"/>
        <v>2007.7281981271176</v>
      </c>
      <c r="AB149" s="20">
        <f>MAX(AB107,0)</f>
        <v>2058.0377271283719</v>
      </c>
    </row>
    <row r="150" spans="2:28" x14ac:dyDescent="0.25">
      <c r="B150" s="36" t="s">
        <v>245</v>
      </c>
      <c r="C150" s="20">
        <f>C109</f>
        <v>0</v>
      </c>
      <c r="D150" s="20">
        <f t="shared" ref="D150:AA150" si="101">D109</f>
        <v>0</v>
      </c>
      <c r="E150" s="20">
        <f t="shared" si="101"/>
        <v>0</v>
      </c>
      <c r="F150" s="20">
        <f t="shared" si="101"/>
        <v>0</v>
      </c>
      <c r="G150" s="20">
        <f t="shared" si="101"/>
        <v>0</v>
      </c>
      <c r="H150" s="20">
        <f t="shared" si="101"/>
        <v>0</v>
      </c>
      <c r="I150" s="20">
        <f t="shared" si="101"/>
        <v>0</v>
      </c>
      <c r="J150" s="20">
        <f t="shared" si="101"/>
        <v>0</v>
      </c>
      <c r="K150" s="20">
        <f t="shared" si="101"/>
        <v>0</v>
      </c>
      <c r="L150" s="20">
        <f t="shared" si="101"/>
        <v>0</v>
      </c>
      <c r="M150" s="20">
        <f t="shared" si="101"/>
        <v>0</v>
      </c>
      <c r="N150" s="20">
        <f t="shared" si="101"/>
        <v>0</v>
      </c>
      <c r="O150" s="20">
        <f t="shared" si="101"/>
        <v>0</v>
      </c>
      <c r="P150" s="20">
        <f t="shared" si="101"/>
        <v>0</v>
      </c>
      <c r="Q150" s="20">
        <f t="shared" si="101"/>
        <v>0</v>
      </c>
      <c r="R150" s="20">
        <f t="shared" si="101"/>
        <v>0</v>
      </c>
      <c r="S150" s="20">
        <f t="shared" si="101"/>
        <v>0</v>
      </c>
      <c r="T150" s="20">
        <f t="shared" si="101"/>
        <v>0</v>
      </c>
      <c r="U150" s="20">
        <f t="shared" si="101"/>
        <v>0</v>
      </c>
      <c r="V150" s="20">
        <f t="shared" si="101"/>
        <v>0</v>
      </c>
      <c r="W150" s="20">
        <f t="shared" si="101"/>
        <v>0</v>
      </c>
      <c r="X150" s="20">
        <f t="shared" si="101"/>
        <v>0</v>
      </c>
      <c r="Y150" s="20">
        <f t="shared" si="101"/>
        <v>0</v>
      </c>
      <c r="Z150" s="20">
        <f t="shared" si="101"/>
        <v>0</v>
      </c>
      <c r="AA150" s="20">
        <f t="shared" si="101"/>
        <v>0</v>
      </c>
      <c r="AB150" s="20">
        <f>AB109</f>
        <v>-26196.23044604576</v>
      </c>
    </row>
    <row r="151" spans="2:28" x14ac:dyDescent="0.25">
      <c r="B151" s="149" t="s">
        <v>226</v>
      </c>
      <c r="C151" s="124">
        <f>SUM(C146:C150)</f>
        <v>171568.78209687411</v>
      </c>
      <c r="D151" s="124">
        <f t="shared" ref="D151" si="102">SUM(D146:D150)</f>
        <v>166961.06150986612</v>
      </c>
      <c r="E151" s="124">
        <f t="shared" ref="E151" si="103">SUM(E146:E150)</f>
        <v>117992.53054041097</v>
      </c>
      <c r="F151" s="124">
        <f t="shared" ref="F151" si="104">SUM(F146:F150)</f>
        <v>29136.348169055989</v>
      </c>
      <c r="G151" s="124">
        <f t="shared" ref="G151" si="105">SUM(G146:G150)</f>
        <v>-4962.0111027684106</v>
      </c>
      <c r="H151" s="124">
        <f t="shared" ref="H151" si="106">SUM(H146:H150)</f>
        <v>-5086.0613803376218</v>
      </c>
      <c r="I151" s="124">
        <f t="shared" ref="I151" si="107">SUM(I146:I150)</f>
        <v>-260.88607184959346</v>
      </c>
      <c r="J151" s="124">
        <f t="shared" ref="J151" si="108">SUM(J146:J150)</f>
        <v>19152.100366621446</v>
      </c>
      <c r="K151" s="124">
        <f t="shared" ref="K151" si="109">SUM(K146:K150)</f>
        <v>19679.775261346018</v>
      </c>
      <c r="L151" s="124">
        <f t="shared" ref="L151" si="110">SUM(L146:L150)</f>
        <v>20218.10151122871</v>
      </c>
      <c r="M151" s="124">
        <f t="shared" ref="M151" si="111">SUM(M146:M150)</f>
        <v>37433.447387911263</v>
      </c>
      <c r="N151" s="124">
        <f t="shared" ref="N151" si="112">SUM(N146:N150)</f>
        <v>37320.829911164175</v>
      </c>
      <c r="O151" s="124">
        <f t="shared" ref="O151" si="113">SUM(O146:O150)</f>
        <v>37207.970818283371</v>
      </c>
      <c r="P151" s="124">
        <f t="shared" ref="P151" si="114">SUM(P146:P150)</f>
        <v>37094.606841498004</v>
      </c>
      <c r="Q151" s="124">
        <f t="shared" ref="Q151" si="115">SUM(Q146:Q150)</f>
        <v>36980.98258607796</v>
      </c>
      <c r="R151" s="124">
        <f t="shared" ref="R151" si="116">SUM(R146:R150)</f>
        <v>36866.834317689871</v>
      </c>
      <c r="S151" s="124">
        <f t="shared" ref="S151" si="117">SUM(S146:S150)</f>
        <v>36789.878792224554</v>
      </c>
      <c r="T151" s="124">
        <f t="shared" ref="T151" si="118">SUM(T146:T150)</f>
        <v>36749.978811026856</v>
      </c>
      <c r="U151" s="124">
        <f t="shared" ref="U151" si="119">SUM(U146:U150)</f>
        <v>36709.651318134798</v>
      </c>
      <c r="V151" s="124">
        <f t="shared" ref="V151" si="120">SUM(V146:V150)</f>
        <v>36668.885625756018</v>
      </c>
      <c r="W151" s="124">
        <f t="shared" ref="W151" si="121">SUM(W146:W150)</f>
        <v>36627.670778903332</v>
      </c>
      <c r="X151" s="124">
        <f t="shared" ref="X151" si="122">SUM(X146:X150)</f>
        <v>36604.142100214907</v>
      </c>
      <c r="Y151" s="124">
        <f t="shared" ref="Y151" si="123">SUM(Y146:Y150)</f>
        <v>36580.141528607353</v>
      </c>
      <c r="Z151" s="124">
        <f t="shared" ref="Z151" si="124">SUM(Z146:Z150)</f>
        <v>36555.657266757684</v>
      </c>
      <c r="AA151" s="124">
        <f t="shared" ref="AA151" si="125">SUM(AA146:AA150)</f>
        <v>36530.677222409853</v>
      </c>
      <c r="AB151" s="124">
        <f t="shared" ref="AB151" si="126">SUM(AB146:AB150)</f>
        <v>10308.958554955643</v>
      </c>
    </row>
    <row r="152" spans="2:28" x14ac:dyDescent="0.25">
      <c r="B152" s="36" t="s">
        <v>212</v>
      </c>
      <c r="C152" s="20">
        <f>MAX(-IF(C151&lt;0,MAX(C146,0)+SUM(C148:C149),0),0)</f>
        <v>0</v>
      </c>
      <c r="D152" s="20">
        <f t="shared" ref="D152:AA152" si="127">MAX(-IF(D151&lt;0,MAX(D146,0)+SUM(D148:D149),0),0)</f>
        <v>0</v>
      </c>
      <c r="E152" s="20">
        <f t="shared" si="127"/>
        <v>0</v>
      </c>
      <c r="F152" s="20">
        <f t="shared" si="127"/>
        <v>0</v>
      </c>
      <c r="G152" s="20">
        <f t="shared" si="127"/>
        <v>4962.0111027684106</v>
      </c>
      <c r="H152" s="20">
        <f t="shared" si="127"/>
        <v>5086.0613803376218</v>
      </c>
      <c r="I152" s="20">
        <f t="shared" si="127"/>
        <v>260.88607184959346</v>
      </c>
      <c r="J152" s="20">
        <f t="shared" si="127"/>
        <v>0</v>
      </c>
      <c r="K152" s="20">
        <f t="shared" si="127"/>
        <v>0</v>
      </c>
      <c r="L152" s="20">
        <f t="shared" si="127"/>
        <v>0</v>
      </c>
      <c r="M152" s="20">
        <f t="shared" si="127"/>
        <v>0</v>
      </c>
      <c r="N152" s="20">
        <f t="shared" si="127"/>
        <v>0</v>
      </c>
      <c r="O152" s="20">
        <f t="shared" si="127"/>
        <v>0</v>
      </c>
      <c r="P152" s="20">
        <f t="shared" si="127"/>
        <v>0</v>
      </c>
      <c r="Q152" s="20">
        <f t="shared" si="127"/>
        <v>0</v>
      </c>
      <c r="R152" s="20">
        <f t="shared" si="127"/>
        <v>0</v>
      </c>
      <c r="S152" s="20">
        <f t="shared" si="127"/>
        <v>0</v>
      </c>
      <c r="T152" s="20">
        <f t="shared" si="127"/>
        <v>0</v>
      </c>
      <c r="U152" s="20">
        <f t="shared" si="127"/>
        <v>0</v>
      </c>
      <c r="V152" s="20">
        <f t="shared" si="127"/>
        <v>0</v>
      </c>
      <c r="W152" s="20">
        <f t="shared" si="127"/>
        <v>0</v>
      </c>
      <c r="X152" s="20">
        <f t="shared" si="127"/>
        <v>0</v>
      </c>
      <c r="Y152" s="20">
        <f t="shared" si="127"/>
        <v>0</v>
      </c>
      <c r="Z152" s="20">
        <f t="shared" si="127"/>
        <v>0</v>
      </c>
      <c r="AA152" s="20">
        <f t="shared" si="127"/>
        <v>0</v>
      </c>
      <c r="AB152" s="20">
        <f>MAX(-IF(AB151&lt;0,MAX(AB146,0)+SUM(AB148:AB149),0),0)</f>
        <v>0</v>
      </c>
    </row>
    <row r="153" spans="2:28" x14ac:dyDescent="0.25">
      <c r="B153" s="36" t="s">
        <v>229</v>
      </c>
      <c r="C153" s="20">
        <f>MIN(0,C107)</f>
        <v>0</v>
      </c>
      <c r="D153" s="20">
        <f t="shared" ref="D153:AA153" si="128">MIN(0,D107)</f>
        <v>-44245.617367771942</v>
      </c>
      <c r="E153" s="20">
        <f t="shared" si="128"/>
        <v>-84015.195929629699</v>
      </c>
      <c r="F153" s="20">
        <f t="shared" si="128"/>
        <v>-41379.731580471402</v>
      </c>
      <c r="G153" s="20">
        <f t="shared" si="128"/>
        <v>-15478.922751857901</v>
      </c>
      <c r="H153" s="20">
        <f t="shared" si="128"/>
        <v>-14669.254052720305</v>
      </c>
      <c r="I153" s="20">
        <f t="shared" si="128"/>
        <v>0</v>
      </c>
      <c r="J153" s="20">
        <f t="shared" si="128"/>
        <v>0</v>
      </c>
      <c r="K153" s="20">
        <f t="shared" si="128"/>
        <v>0</v>
      </c>
      <c r="L153" s="20">
        <f t="shared" si="128"/>
        <v>0</v>
      </c>
      <c r="M153" s="20">
        <f t="shared" si="128"/>
        <v>0</v>
      </c>
      <c r="N153" s="20">
        <f t="shared" si="128"/>
        <v>0</v>
      </c>
      <c r="O153" s="20">
        <f t="shared" si="128"/>
        <v>0</v>
      </c>
      <c r="P153" s="20">
        <f t="shared" si="128"/>
        <v>0</v>
      </c>
      <c r="Q153" s="20">
        <f t="shared" si="128"/>
        <v>0</v>
      </c>
      <c r="R153" s="20">
        <f t="shared" si="128"/>
        <v>0</v>
      </c>
      <c r="S153" s="20">
        <f t="shared" si="128"/>
        <v>0</v>
      </c>
      <c r="T153" s="20">
        <f t="shared" si="128"/>
        <v>0</v>
      </c>
      <c r="U153" s="20">
        <f t="shared" si="128"/>
        <v>0</v>
      </c>
      <c r="V153" s="20">
        <f t="shared" si="128"/>
        <v>0</v>
      </c>
      <c r="W153" s="20">
        <f t="shared" si="128"/>
        <v>0</v>
      </c>
      <c r="X153" s="20">
        <f t="shared" si="128"/>
        <v>0</v>
      </c>
      <c r="Y153" s="20">
        <f t="shared" si="128"/>
        <v>0</v>
      </c>
      <c r="Z153" s="20">
        <f t="shared" si="128"/>
        <v>0</v>
      </c>
      <c r="AA153" s="20">
        <f t="shared" si="128"/>
        <v>0</v>
      </c>
      <c r="AB153" s="20">
        <f>MIN(0,AB107)</f>
        <v>0</v>
      </c>
    </row>
    <row r="154" spans="2:28" x14ac:dyDescent="0.25">
      <c r="B154" s="149" t="s">
        <v>221</v>
      </c>
      <c r="C154" s="150">
        <f>SUM(C153,C149:C150)</f>
        <v>0</v>
      </c>
      <c r="D154" s="150">
        <f t="shared" ref="D154:AA154" si="129">SUM(D153,D149:D150)</f>
        <v>-44245.617367771942</v>
      </c>
      <c r="E154" s="150">
        <f t="shared" si="129"/>
        <v>-84015.195929629699</v>
      </c>
      <c r="F154" s="150">
        <f t="shared" si="129"/>
        <v>-41379.731580471402</v>
      </c>
      <c r="G154" s="150">
        <f t="shared" si="129"/>
        <v>-15478.922751857901</v>
      </c>
      <c r="H154" s="150">
        <f t="shared" si="129"/>
        <v>-14669.254052720305</v>
      </c>
      <c r="I154" s="150">
        <f t="shared" si="129"/>
        <v>4952.3268429964692</v>
      </c>
      <c r="J154" s="150">
        <f t="shared" si="129"/>
        <v>24495.643604338657</v>
      </c>
      <c r="K154" s="150">
        <f t="shared" si="129"/>
        <v>25156.90708000616</v>
      </c>
      <c r="L154" s="150">
        <f t="shared" si="129"/>
        <v>25832.161625355355</v>
      </c>
      <c r="M154" s="150">
        <f t="shared" si="129"/>
        <v>26529.442081688521</v>
      </c>
      <c r="N154" s="150">
        <f t="shared" si="129"/>
        <v>1361.9505001039859</v>
      </c>
      <c r="O154" s="150">
        <f t="shared" si="129"/>
        <v>1398.5730833915497</v>
      </c>
      <c r="P154" s="150">
        <f t="shared" si="129"/>
        <v>1435.8540038937908</v>
      </c>
      <c r="Q154" s="150">
        <f t="shared" si="129"/>
        <v>1474.3241747761017</v>
      </c>
      <c r="R154" s="150">
        <f t="shared" si="129"/>
        <v>1513.4988725629551</v>
      </c>
      <c r="S154" s="150">
        <f t="shared" si="129"/>
        <v>1591.3827940094961</v>
      </c>
      <c r="T154" s="150">
        <f t="shared" si="129"/>
        <v>1670.1467962639927</v>
      </c>
      <c r="U154" s="150">
        <f t="shared" si="129"/>
        <v>1712.4704540061703</v>
      </c>
      <c r="V154" s="150">
        <f t="shared" si="129"/>
        <v>1755.8522031919047</v>
      </c>
      <c r="W154" s="150">
        <f t="shared" si="129"/>
        <v>1800.3184961072716</v>
      </c>
      <c r="X154" s="150">
        <f t="shared" si="129"/>
        <v>1864.0429978455309</v>
      </c>
      <c r="Y154" s="150">
        <f t="shared" si="129"/>
        <v>1910.7603968397505</v>
      </c>
      <c r="Z154" s="150">
        <f t="shared" si="129"/>
        <v>1958.6457308088168</v>
      </c>
      <c r="AA154" s="150">
        <f t="shared" si="129"/>
        <v>2007.7281981271176</v>
      </c>
      <c r="AB154" s="150">
        <f t="shared" ref="AB154" si="130">SUM(AB149:AB150,AB153)</f>
        <v>-24138.192718917388</v>
      </c>
    </row>
    <row r="155" spans="2:28" x14ac:dyDescent="0.25">
      <c r="B155" s="149" t="s">
        <v>225</v>
      </c>
      <c r="C155" s="124">
        <f t="shared" ref="C155" si="131">SUM(C146:C148,C152,C154)</f>
        <v>171568.78209687411</v>
      </c>
      <c r="D155" s="124">
        <f t="shared" ref="D155" si="132">SUM(D146:D148,D152,D154)</f>
        <v>122715.44414209417</v>
      </c>
      <c r="E155" s="124">
        <f t="shared" ref="E155" si="133">SUM(E146:E148,E152,E154)</f>
        <v>33977.334610781269</v>
      </c>
      <c r="F155" s="124">
        <f t="shared" ref="F155" si="134">SUM(F146:F148,F152,F154)</f>
        <v>-12243.383411415412</v>
      </c>
      <c r="G155" s="124">
        <f t="shared" ref="G155" si="135">SUM(G146:G148,G152,G154)</f>
        <v>-15478.922751857901</v>
      </c>
      <c r="H155" s="124">
        <f t="shared" ref="H155" si="136">SUM(H146:H148,H152,H154)</f>
        <v>-14669.254052720305</v>
      </c>
      <c r="I155" s="124">
        <f t="shared" ref="I155" si="137">SUM(I146:I148,I152,I154)</f>
        <v>0</v>
      </c>
      <c r="J155" s="124">
        <f t="shared" ref="J155" si="138">SUM(J146:J148,J152,J154)</f>
        <v>19152.100366621446</v>
      </c>
      <c r="K155" s="124">
        <f t="shared" ref="K155" si="139">SUM(K146:K148,K152,K154)</f>
        <v>19679.775261346018</v>
      </c>
      <c r="L155" s="124">
        <f t="shared" ref="L155" si="140">SUM(L146:L148,L152,L154)</f>
        <v>20218.10151122871</v>
      </c>
      <c r="M155" s="124">
        <f t="shared" ref="M155" si="141">SUM(M146:M148,M152,M154)</f>
        <v>37433.447387911263</v>
      </c>
      <c r="N155" s="124">
        <f t="shared" ref="N155" si="142">SUM(N146:N148,N152,N154)</f>
        <v>37320.829911164175</v>
      </c>
      <c r="O155" s="124">
        <f t="shared" ref="O155" si="143">SUM(O146:O148,O152,O154)</f>
        <v>37207.970818283371</v>
      </c>
      <c r="P155" s="124">
        <f t="shared" ref="P155" si="144">SUM(P146:P148,P152,P154)</f>
        <v>37094.606841498004</v>
      </c>
      <c r="Q155" s="124">
        <f t="shared" ref="Q155" si="145">SUM(Q146:Q148,Q152,Q154)</f>
        <v>36980.98258607796</v>
      </c>
      <c r="R155" s="124">
        <f t="shared" ref="R155" si="146">SUM(R146:R148,R152,R154)</f>
        <v>36866.834317689871</v>
      </c>
      <c r="S155" s="124">
        <f t="shared" ref="S155" si="147">SUM(S146:S148,S152,S154)</f>
        <v>36789.878792224554</v>
      </c>
      <c r="T155" s="124">
        <f t="shared" ref="T155" si="148">SUM(T146:T148,T152,T154)</f>
        <v>36749.978811026856</v>
      </c>
      <c r="U155" s="124">
        <f t="shared" ref="U155" si="149">SUM(U146:U148,U152,U154)</f>
        <v>36709.651318134798</v>
      </c>
      <c r="V155" s="124">
        <f t="shared" ref="V155" si="150">SUM(V146:V148,V152,V154)</f>
        <v>36668.885625756018</v>
      </c>
      <c r="W155" s="124">
        <f t="shared" ref="W155" si="151">SUM(W146:W148,W152,W154)</f>
        <v>36627.670778903332</v>
      </c>
      <c r="X155" s="124">
        <f t="shared" ref="X155" si="152">SUM(X146:X148,X152,X154)</f>
        <v>36604.142100214907</v>
      </c>
      <c r="Y155" s="124">
        <f t="shared" ref="Y155" si="153">SUM(Y146:Y148,Y152,Y154)</f>
        <v>36580.141528607353</v>
      </c>
      <c r="Z155" s="124">
        <f t="shared" ref="Z155" si="154">SUM(Z146:Z148,Z152,Z154)</f>
        <v>36555.657266757684</v>
      </c>
      <c r="AA155" s="124">
        <f t="shared" ref="AA155" si="155">SUM(AA146:AA148,AA152,AA154)</f>
        <v>36530.677222409853</v>
      </c>
      <c r="AB155" s="124">
        <f>SUM(AB146:AB148,AB152,AB154)</f>
        <v>10308.958554955643</v>
      </c>
    </row>
    <row r="156" spans="2:28" x14ac:dyDescent="0.25">
      <c r="B156" s="36" t="s">
        <v>223</v>
      </c>
      <c r="C156" s="20">
        <f>IF(C155&lt;0,-C155,0)</f>
        <v>0</v>
      </c>
      <c r="D156" s="20">
        <f t="shared" ref="D156:AA156" si="156">IF(D155&lt;0,-D155,0)</f>
        <v>0</v>
      </c>
      <c r="E156" s="20">
        <f t="shared" si="156"/>
        <v>0</v>
      </c>
      <c r="F156" s="20">
        <f t="shared" si="156"/>
        <v>12243.383411415412</v>
      </c>
      <c r="G156" s="20">
        <f t="shared" si="156"/>
        <v>15478.922751857901</v>
      </c>
      <c r="H156" s="20">
        <f t="shared" si="156"/>
        <v>14669.254052720305</v>
      </c>
      <c r="I156" s="20">
        <f t="shared" si="156"/>
        <v>0</v>
      </c>
      <c r="J156" s="20">
        <f t="shared" si="156"/>
        <v>0</v>
      </c>
      <c r="K156" s="20">
        <f t="shared" si="156"/>
        <v>0</v>
      </c>
      <c r="L156" s="20">
        <f t="shared" si="156"/>
        <v>0</v>
      </c>
      <c r="M156" s="20">
        <f t="shared" si="156"/>
        <v>0</v>
      </c>
      <c r="N156" s="20">
        <f t="shared" si="156"/>
        <v>0</v>
      </c>
      <c r="O156" s="20">
        <f t="shared" si="156"/>
        <v>0</v>
      </c>
      <c r="P156" s="20">
        <f t="shared" si="156"/>
        <v>0</v>
      </c>
      <c r="Q156" s="20">
        <f t="shared" si="156"/>
        <v>0</v>
      </c>
      <c r="R156" s="20">
        <f t="shared" si="156"/>
        <v>0</v>
      </c>
      <c r="S156" s="20">
        <f t="shared" si="156"/>
        <v>0</v>
      </c>
      <c r="T156" s="20">
        <f t="shared" si="156"/>
        <v>0</v>
      </c>
      <c r="U156" s="20">
        <f t="shared" si="156"/>
        <v>0</v>
      </c>
      <c r="V156" s="20">
        <f t="shared" si="156"/>
        <v>0</v>
      </c>
      <c r="W156" s="20">
        <f t="shared" si="156"/>
        <v>0</v>
      </c>
      <c r="X156" s="20">
        <f t="shared" si="156"/>
        <v>0</v>
      </c>
      <c r="Y156" s="20">
        <f t="shared" si="156"/>
        <v>0</v>
      </c>
      <c r="Z156" s="20">
        <f t="shared" si="156"/>
        <v>0</v>
      </c>
      <c r="AA156" s="20">
        <f t="shared" si="156"/>
        <v>0</v>
      </c>
      <c r="AB156" s="20">
        <f t="shared" ref="AB156" si="157">IF(AB155&lt;0,-AB155,0)</f>
        <v>0</v>
      </c>
    </row>
    <row r="157" spans="2:28" x14ac:dyDescent="0.25">
      <c r="B157" s="36" t="s">
        <v>227</v>
      </c>
      <c r="C157" s="20">
        <v>0</v>
      </c>
      <c r="D157" s="20">
        <f>-IF(AND(C160&gt;0,D155&gt;0),MIN(C160,D155),0)</f>
        <v>0</v>
      </c>
      <c r="E157" s="20">
        <f t="shared" ref="E157:AB157" si="158">-IF(AND(D160&gt;0,E155&gt;0),MIN(D160,E155),0)</f>
        <v>0</v>
      </c>
      <c r="F157" s="20">
        <f t="shared" si="158"/>
        <v>0</v>
      </c>
      <c r="G157" s="20">
        <f t="shared" si="158"/>
        <v>0</v>
      </c>
      <c r="H157" s="20">
        <f t="shared" si="158"/>
        <v>0</v>
      </c>
      <c r="I157" s="20">
        <f t="shared" si="158"/>
        <v>0</v>
      </c>
      <c r="J157" s="20">
        <f t="shared" si="158"/>
        <v>-19152.100366621446</v>
      </c>
      <c r="K157" s="20">
        <f t="shared" si="158"/>
        <v>-19679.775261346018</v>
      </c>
      <c r="L157" s="20">
        <f t="shared" si="158"/>
        <v>-3559.6845880261608</v>
      </c>
      <c r="M157" s="20">
        <f t="shared" si="158"/>
        <v>0</v>
      </c>
      <c r="N157" s="20">
        <f t="shared" si="158"/>
        <v>0</v>
      </c>
      <c r="O157" s="20">
        <f t="shared" si="158"/>
        <v>0</v>
      </c>
      <c r="P157" s="20">
        <f t="shared" si="158"/>
        <v>0</v>
      </c>
      <c r="Q157" s="20">
        <f t="shared" si="158"/>
        <v>0</v>
      </c>
      <c r="R157" s="20">
        <f t="shared" si="158"/>
        <v>0</v>
      </c>
      <c r="S157" s="20">
        <f t="shared" si="158"/>
        <v>0</v>
      </c>
      <c r="T157" s="20">
        <f t="shared" si="158"/>
        <v>0</v>
      </c>
      <c r="U157" s="20">
        <f t="shared" si="158"/>
        <v>0</v>
      </c>
      <c r="V157" s="20">
        <f t="shared" si="158"/>
        <v>0</v>
      </c>
      <c r="W157" s="20">
        <f t="shared" si="158"/>
        <v>0</v>
      </c>
      <c r="X157" s="20">
        <f t="shared" si="158"/>
        <v>0</v>
      </c>
      <c r="Y157" s="20">
        <f t="shared" si="158"/>
        <v>0</v>
      </c>
      <c r="Z157" s="20">
        <f t="shared" si="158"/>
        <v>0</v>
      </c>
      <c r="AA157" s="20">
        <f t="shared" si="158"/>
        <v>0</v>
      </c>
      <c r="AB157" s="20">
        <f t="shared" si="158"/>
        <v>0</v>
      </c>
    </row>
    <row r="158" spans="2:28" x14ac:dyDescent="0.25">
      <c r="B158" s="36" t="s">
        <v>246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f>-SUM(AB155:AB157)</f>
        <v>-10308.958554955643</v>
      </c>
    </row>
    <row r="159" spans="2:28" ht="14.4" thickBot="1" x14ac:dyDescent="0.3">
      <c r="B159" s="125" t="s">
        <v>71</v>
      </c>
      <c r="C159" s="126">
        <f>SUM(C155:C158)</f>
        <v>171568.78209687411</v>
      </c>
      <c r="D159" s="126">
        <f t="shared" ref="D159:AB159" si="159">SUM(D155:D158)</f>
        <v>122715.44414209417</v>
      </c>
      <c r="E159" s="126">
        <f t="shared" si="159"/>
        <v>33977.334610781269</v>
      </c>
      <c r="F159" s="126">
        <f t="shared" si="159"/>
        <v>0</v>
      </c>
      <c r="G159" s="126">
        <f t="shared" si="159"/>
        <v>0</v>
      </c>
      <c r="H159" s="126">
        <f t="shared" si="159"/>
        <v>0</v>
      </c>
      <c r="I159" s="126">
        <f t="shared" si="159"/>
        <v>0</v>
      </c>
      <c r="J159" s="126">
        <f t="shared" si="159"/>
        <v>0</v>
      </c>
      <c r="K159" s="126">
        <f t="shared" si="159"/>
        <v>0</v>
      </c>
      <c r="L159" s="126">
        <f t="shared" si="159"/>
        <v>16658.416923202549</v>
      </c>
      <c r="M159" s="126">
        <f t="shared" si="159"/>
        <v>37433.447387911263</v>
      </c>
      <c r="N159" s="126">
        <f t="shared" si="159"/>
        <v>37320.829911164175</v>
      </c>
      <c r="O159" s="126">
        <f t="shared" si="159"/>
        <v>37207.970818283371</v>
      </c>
      <c r="P159" s="126">
        <f t="shared" si="159"/>
        <v>37094.606841498004</v>
      </c>
      <c r="Q159" s="126">
        <f t="shared" si="159"/>
        <v>36980.98258607796</v>
      </c>
      <c r="R159" s="126">
        <f t="shared" si="159"/>
        <v>36866.834317689871</v>
      </c>
      <c r="S159" s="126">
        <f t="shared" si="159"/>
        <v>36789.878792224554</v>
      </c>
      <c r="T159" s="126">
        <f t="shared" si="159"/>
        <v>36749.978811026856</v>
      </c>
      <c r="U159" s="126">
        <f t="shared" si="159"/>
        <v>36709.651318134798</v>
      </c>
      <c r="V159" s="126">
        <f t="shared" si="159"/>
        <v>36668.885625756018</v>
      </c>
      <c r="W159" s="126">
        <f t="shared" si="159"/>
        <v>36627.670778903332</v>
      </c>
      <c r="X159" s="126">
        <f t="shared" si="159"/>
        <v>36604.142100214907</v>
      </c>
      <c r="Y159" s="126">
        <f t="shared" si="159"/>
        <v>36580.141528607353</v>
      </c>
      <c r="Z159" s="126">
        <f t="shared" si="159"/>
        <v>36555.657266757684</v>
      </c>
      <c r="AA159" s="126">
        <f t="shared" si="159"/>
        <v>36530.677222409853</v>
      </c>
      <c r="AB159" s="126">
        <f t="shared" si="159"/>
        <v>0</v>
      </c>
    </row>
    <row r="160" spans="2:28" ht="15" thickTop="1" x14ac:dyDescent="0.3">
      <c r="B160" s="90" t="s">
        <v>224</v>
      </c>
      <c r="C160" s="156"/>
      <c r="D160" s="156">
        <f t="shared" ref="D160:AB160" si="160">SUM(D156:D157,C160)</f>
        <v>0</v>
      </c>
      <c r="E160" s="156">
        <f t="shared" si="160"/>
        <v>0</v>
      </c>
      <c r="F160" s="156">
        <f t="shared" si="160"/>
        <v>12243.383411415412</v>
      </c>
      <c r="G160" s="156">
        <f t="shared" si="160"/>
        <v>27722.306163273315</v>
      </c>
      <c r="H160" s="156">
        <f t="shared" si="160"/>
        <v>42391.560215993624</v>
      </c>
      <c r="I160" s="156">
        <f t="shared" si="160"/>
        <v>42391.560215993624</v>
      </c>
      <c r="J160" s="156">
        <f t="shared" si="160"/>
        <v>23239.459849372179</v>
      </c>
      <c r="K160" s="156">
        <f t="shared" si="160"/>
        <v>3559.6845880261608</v>
      </c>
      <c r="L160" s="156">
        <f t="shared" si="160"/>
        <v>0</v>
      </c>
      <c r="M160" s="156">
        <f t="shared" si="160"/>
        <v>0</v>
      </c>
      <c r="N160" s="156">
        <f t="shared" si="160"/>
        <v>0</v>
      </c>
      <c r="O160" s="156">
        <f t="shared" si="160"/>
        <v>0</v>
      </c>
      <c r="P160" s="156">
        <f t="shared" si="160"/>
        <v>0</v>
      </c>
      <c r="Q160" s="156">
        <f t="shared" si="160"/>
        <v>0</v>
      </c>
      <c r="R160" s="156">
        <f t="shared" si="160"/>
        <v>0</v>
      </c>
      <c r="S160" s="156">
        <f t="shared" si="160"/>
        <v>0</v>
      </c>
      <c r="T160" s="156">
        <f t="shared" si="160"/>
        <v>0</v>
      </c>
      <c r="U160" s="156">
        <f t="shared" si="160"/>
        <v>0</v>
      </c>
      <c r="V160" s="156">
        <f t="shared" si="160"/>
        <v>0</v>
      </c>
      <c r="W160" s="156">
        <f t="shared" si="160"/>
        <v>0</v>
      </c>
      <c r="X160" s="156">
        <f t="shared" si="160"/>
        <v>0</v>
      </c>
      <c r="Y160" s="156">
        <f t="shared" si="160"/>
        <v>0</v>
      </c>
      <c r="Z160" s="156">
        <f t="shared" si="160"/>
        <v>0</v>
      </c>
      <c r="AA160" s="156">
        <f t="shared" si="160"/>
        <v>0</v>
      </c>
      <c r="AB160" s="156">
        <f t="shared" si="160"/>
        <v>0</v>
      </c>
    </row>
    <row r="161" spans="2:28" x14ac:dyDescent="0.25">
      <c r="C161" s="20"/>
    </row>
    <row r="162" spans="2:28" x14ac:dyDescent="0.25">
      <c r="B162" s="38" t="s">
        <v>168</v>
      </c>
      <c r="C162" s="39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</row>
    <row r="164" spans="2:28" x14ac:dyDescent="0.25">
      <c r="B164" s="123" t="s">
        <v>70</v>
      </c>
      <c r="C164" s="124">
        <v>0</v>
      </c>
      <c r="D164" s="124">
        <f t="shared" ref="D164" si="161">C177</f>
        <v>195028.21790312583</v>
      </c>
      <c r="E164" s="124">
        <f t="shared" ref="E164" si="162">D177</f>
        <v>176150.41012713654</v>
      </c>
      <c r="F164" s="124">
        <f t="shared" ref="F164" si="163">E177</f>
        <v>156410.1173776802</v>
      </c>
      <c r="G164" s="124">
        <f t="shared" ref="G164" si="164">F177</f>
        <v>136628.19452410768</v>
      </c>
      <c r="H164" s="124">
        <f t="shared" ref="H164" si="165">G177</f>
        <v>116623.79735796477</v>
      </c>
      <c r="I164" s="124">
        <f t="shared" ref="I164" si="166">H177</f>
        <v>96131.377553253464</v>
      </c>
      <c r="J164" s="124">
        <f t="shared" ref="J164" si="167">I177</f>
        <v>75328.549397333831</v>
      </c>
      <c r="K164" s="124">
        <f t="shared" ref="K164" si="168">J177</f>
        <v>54201.807189943152</v>
      </c>
      <c r="L164" s="124">
        <f t="shared" ref="L164" si="169">K177</f>
        <v>32547.390087827902</v>
      </c>
      <c r="M164" s="124">
        <f t="shared" ref="M164" si="170">L177</f>
        <v>10352.080556829962</v>
      </c>
      <c r="N164" s="124">
        <f t="shared" ref="N164" si="171">M177</f>
        <v>0</v>
      </c>
      <c r="O164" s="124">
        <f t="shared" ref="O164" si="172">N177</f>
        <v>0</v>
      </c>
      <c r="P164" s="124">
        <f t="shared" ref="P164" si="173">O177</f>
        <v>0</v>
      </c>
      <c r="Q164" s="124">
        <f t="shared" ref="Q164" si="174">P177</f>
        <v>0</v>
      </c>
      <c r="R164" s="124">
        <f t="shared" ref="R164" si="175">Q177</f>
        <v>0</v>
      </c>
      <c r="S164" s="124">
        <f t="shared" ref="S164" si="176">R177</f>
        <v>0</v>
      </c>
      <c r="T164" s="124">
        <f t="shared" ref="T164" si="177">S177</f>
        <v>0</v>
      </c>
      <c r="U164" s="124">
        <f t="shared" ref="U164" si="178">T177</f>
        <v>0</v>
      </c>
      <c r="V164" s="124">
        <f t="shared" ref="V164" si="179">U177</f>
        <v>0</v>
      </c>
      <c r="W164" s="124">
        <f t="shared" ref="W164" si="180">V177</f>
        <v>0</v>
      </c>
      <c r="X164" s="124">
        <f t="shared" ref="X164" si="181">W177</f>
        <v>0</v>
      </c>
      <c r="Y164" s="124">
        <f t="shared" ref="Y164" si="182">X177</f>
        <v>0</v>
      </c>
      <c r="Z164" s="124">
        <f t="shared" ref="Z164" si="183">Y177</f>
        <v>0</v>
      </c>
      <c r="AA164" s="124">
        <f t="shared" ref="AA164:AB164" si="184">Z177</f>
        <v>0</v>
      </c>
      <c r="AB164" s="124">
        <f t="shared" si="184"/>
        <v>0</v>
      </c>
    </row>
    <row r="165" spans="2:28" x14ac:dyDescent="0.25">
      <c r="B165" s="36" t="s">
        <v>111</v>
      </c>
      <c r="C165" s="20">
        <f>C124</f>
        <v>195028.21790312583</v>
      </c>
      <c r="D165" s="20">
        <f t="shared" ref="D165:AA165" si="185">D124</f>
        <v>0</v>
      </c>
      <c r="E165" s="20">
        <f t="shared" si="185"/>
        <v>0</v>
      </c>
      <c r="F165" s="20">
        <f t="shared" si="185"/>
        <v>0</v>
      </c>
      <c r="G165" s="20">
        <f t="shared" si="185"/>
        <v>0</v>
      </c>
      <c r="H165" s="20">
        <f t="shared" si="185"/>
        <v>0</v>
      </c>
      <c r="I165" s="20">
        <f t="shared" si="185"/>
        <v>0</v>
      </c>
      <c r="J165" s="20">
        <f t="shared" si="185"/>
        <v>0</v>
      </c>
      <c r="K165" s="20">
        <f t="shared" si="185"/>
        <v>0</v>
      </c>
      <c r="L165" s="20">
        <f t="shared" si="185"/>
        <v>0</v>
      </c>
      <c r="M165" s="20">
        <f t="shared" si="185"/>
        <v>0</v>
      </c>
      <c r="N165" s="20">
        <f t="shared" si="185"/>
        <v>0</v>
      </c>
      <c r="O165" s="20">
        <f t="shared" si="185"/>
        <v>0</v>
      </c>
      <c r="P165" s="20">
        <f t="shared" si="185"/>
        <v>0</v>
      </c>
      <c r="Q165" s="20">
        <f t="shared" si="185"/>
        <v>0</v>
      </c>
      <c r="R165" s="20">
        <f t="shared" si="185"/>
        <v>0</v>
      </c>
      <c r="S165" s="20">
        <f t="shared" si="185"/>
        <v>0</v>
      </c>
      <c r="T165" s="20">
        <f t="shared" si="185"/>
        <v>0</v>
      </c>
      <c r="U165" s="20">
        <f t="shared" si="185"/>
        <v>0</v>
      </c>
      <c r="V165" s="20">
        <f t="shared" si="185"/>
        <v>0</v>
      </c>
      <c r="W165" s="20">
        <f t="shared" si="185"/>
        <v>0</v>
      </c>
      <c r="X165" s="20">
        <f t="shared" si="185"/>
        <v>0</v>
      </c>
      <c r="Y165" s="20">
        <f t="shared" si="185"/>
        <v>0</v>
      </c>
      <c r="Z165" s="20">
        <f t="shared" si="185"/>
        <v>0</v>
      </c>
      <c r="AA165" s="20">
        <f t="shared" si="185"/>
        <v>0</v>
      </c>
      <c r="AB165" s="20">
        <f t="shared" ref="AB165" si="186">AB124</f>
        <v>0</v>
      </c>
    </row>
    <row r="166" spans="2:28" x14ac:dyDescent="0.25">
      <c r="B166" s="36" t="s">
        <v>112</v>
      </c>
      <c r="C166" s="20">
        <f>C125</f>
        <v>0</v>
      </c>
      <c r="D166" s="20">
        <f t="shared" ref="D166:AA166" si="187">D125</f>
        <v>-18430.882348031999</v>
      </c>
      <c r="E166" s="20">
        <f t="shared" si="187"/>
        <v>-18891.6544067328</v>
      </c>
      <c r="F166" s="20">
        <f t="shared" si="187"/>
        <v>-19363.945766901114</v>
      </c>
      <c r="G166" s="20">
        <f t="shared" si="187"/>
        <v>-19848.044411073643</v>
      </c>
      <c r="H166" s="20">
        <f t="shared" si="187"/>
        <v>-20344.245521350487</v>
      </c>
      <c r="I166" s="20">
        <f t="shared" si="187"/>
        <v>-20852.851659384251</v>
      </c>
      <c r="J166" s="20">
        <f t="shared" si="187"/>
        <v>-21374.172950868844</v>
      </c>
      <c r="K166" s="20">
        <f t="shared" si="187"/>
        <v>-21908.527274640564</v>
      </c>
      <c r="L166" s="20">
        <f t="shared" si="187"/>
        <v>-22456.240456506581</v>
      </c>
      <c r="M166" s="20">
        <f t="shared" si="187"/>
        <v>-23017.646467919243</v>
      </c>
      <c r="N166" s="20">
        <f t="shared" si="187"/>
        <v>-28016.791560170448</v>
      </c>
      <c r="O166" s="20">
        <f t="shared" si="187"/>
        <v>-28717.2113491747</v>
      </c>
      <c r="P166" s="20">
        <f t="shared" si="187"/>
        <v>-29435.141632904066</v>
      </c>
      <c r="Q166" s="20">
        <f t="shared" si="187"/>
        <v>-30171.020173726662</v>
      </c>
      <c r="R166" s="20">
        <f t="shared" si="187"/>
        <v>-30925.295678069833</v>
      </c>
      <c r="S166" s="20">
        <f t="shared" si="187"/>
        <v>-31698.428070021579</v>
      </c>
      <c r="T166" s="20">
        <f t="shared" si="187"/>
        <v>-32490.888771772115</v>
      </c>
      <c r="U166" s="20">
        <f t="shared" si="187"/>
        <v>-33303.160991066412</v>
      </c>
      <c r="V166" s="20">
        <f t="shared" si="187"/>
        <v>-34135.740015843076</v>
      </c>
      <c r="W166" s="20">
        <f t="shared" si="187"/>
        <v>-34989.133516239141</v>
      </c>
      <c r="X166" s="20">
        <f t="shared" si="187"/>
        <v>-35863.861854145121</v>
      </c>
      <c r="Y166" s="20">
        <f t="shared" si="187"/>
        <v>-36760.458400498748</v>
      </c>
      <c r="Z166" s="20">
        <f t="shared" si="187"/>
        <v>-37679.469860511213</v>
      </c>
      <c r="AA166" s="20">
        <f t="shared" si="187"/>
        <v>-38621.456607023989</v>
      </c>
      <c r="AB166" s="20">
        <f t="shared" ref="AB166" si="188">AB125</f>
        <v>-39586.993022199582</v>
      </c>
    </row>
    <row r="167" spans="2:28" x14ac:dyDescent="0.25">
      <c r="B167" s="36" t="s">
        <v>230</v>
      </c>
      <c r="C167" s="20">
        <f>MAX(C131,0)</f>
        <v>0</v>
      </c>
      <c r="D167" s="20">
        <f t="shared" ref="D167:AA167" si="189">MAX(D131,0)</f>
        <v>0</v>
      </c>
      <c r="E167" s="20">
        <f t="shared" si="189"/>
        <v>0</v>
      </c>
      <c r="F167" s="20">
        <f t="shared" si="189"/>
        <v>0</v>
      </c>
      <c r="G167" s="20">
        <f t="shared" si="189"/>
        <v>0</v>
      </c>
      <c r="H167" s="20">
        <f t="shared" si="189"/>
        <v>0</v>
      </c>
      <c r="I167" s="20">
        <f t="shared" si="189"/>
        <v>50.023503464610847</v>
      </c>
      <c r="J167" s="20">
        <f t="shared" si="189"/>
        <v>247.43074347816847</v>
      </c>
      <c r="K167" s="20">
        <f t="shared" si="189"/>
        <v>254.11017252531497</v>
      </c>
      <c r="L167" s="20">
        <f t="shared" si="189"/>
        <v>260.9309255086402</v>
      </c>
      <c r="M167" s="20">
        <f t="shared" si="189"/>
        <v>267.97416244129846</v>
      </c>
      <c r="N167" s="20">
        <f t="shared" si="189"/>
        <v>26152.201017148309</v>
      </c>
      <c r="O167" s="20">
        <f t="shared" si="189"/>
        <v>26855.428601286276</v>
      </c>
      <c r="P167" s="20">
        <f t="shared" si="189"/>
        <v>27571.297589920203</v>
      </c>
      <c r="Q167" s="20">
        <f t="shared" si="189"/>
        <v>28310.002588377472</v>
      </c>
      <c r="R167" s="20">
        <f t="shared" si="189"/>
        <v>29062.235926688692</v>
      </c>
      <c r="S167" s="20">
        <f t="shared" si="189"/>
        <v>30557.764559717671</v>
      </c>
      <c r="T167" s="20">
        <f t="shared" si="189"/>
        <v>32070.192522200581</v>
      </c>
      <c r="U167" s="20">
        <f t="shared" si="189"/>
        <v>32882.892253189246</v>
      </c>
      <c r="V167" s="20">
        <f t="shared" si="189"/>
        <v>33715.909477452631</v>
      </c>
      <c r="W167" s="20">
        <f t="shared" si="189"/>
        <v>34569.752132322588</v>
      </c>
      <c r="X167" s="20">
        <f t="shared" si="189"/>
        <v>35793.391302064309</v>
      </c>
      <c r="Y167" s="20">
        <f t="shared" si="189"/>
        <v>36690.459741337072</v>
      </c>
      <c r="Z167" s="20">
        <f t="shared" si="189"/>
        <v>37609.954891591646</v>
      </c>
      <c r="AA167" s="20">
        <f t="shared" si="189"/>
        <v>38552.437420602582</v>
      </c>
      <c r="AB167" s="20">
        <f t="shared" ref="AB167" si="190">MAX(AB131,0)</f>
        <v>39518.482012838802</v>
      </c>
    </row>
    <row r="168" spans="2:28" x14ac:dyDescent="0.25">
      <c r="B168" s="36" t="s">
        <v>245</v>
      </c>
      <c r="C168" s="20">
        <f t="shared" ref="C168" si="191">C133</f>
        <v>0</v>
      </c>
      <c r="D168" s="20">
        <f t="shared" ref="D168:AA168" si="192">D133</f>
        <v>0</v>
      </c>
      <c r="E168" s="20">
        <f t="shared" si="192"/>
        <v>0</v>
      </c>
      <c r="F168" s="20">
        <f t="shared" si="192"/>
        <v>0</v>
      </c>
      <c r="G168" s="20">
        <f t="shared" si="192"/>
        <v>0</v>
      </c>
      <c r="H168" s="20">
        <f t="shared" si="192"/>
        <v>0</v>
      </c>
      <c r="I168" s="20">
        <f t="shared" si="192"/>
        <v>0</v>
      </c>
      <c r="J168" s="20">
        <f t="shared" si="192"/>
        <v>0</v>
      </c>
      <c r="K168" s="20">
        <f t="shared" si="192"/>
        <v>0</v>
      </c>
      <c r="L168" s="20">
        <f t="shared" si="192"/>
        <v>0</v>
      </c>
      <c r="M168" s="20">
        <f t="shared" si="192"/>
        <v>0</v>
      </c>
      <c r="N168" s="20">
        <f t="shared" si="192"/>
        <v>0</v>
      </c>
      <c r="O168" s="20">
        <f t="shared" si="192"/>
        <v>0</v>
      </c>
      <c r="P168" s="20">
        <f t="shared" si="192"/>
        <v>0</v>
      </c>
      <c r="Q168" s="20">
        <f t="shared" si="192"/>
        <v>0</v>
      </c>
      <c r="R168" s="20">
        <f t="shared" si="192"/>
        <v>0</v>
      </c>
      <c r="S168" s="20">
        <f t="shared" si="192"/>
        <v>0</v>
      </c>
      <c r="T168" s="20">
        <f t="shared" si="192"/>
        <v>0</v>
      </c>
      <c r="U168" s="20">
        <f t="shared" si="192"/>
        <v>0</v>
      </c>
      <c r="V168" s="20">
        <f t="shared" si="192"/>
        <v>0</v>
      </c>
      <c r="W168" s="20">
        <f t="shared" si="192"/>
        <v>0</v>
      </c>
      <c r="X168" s="20">
        <f t="shared" si="192"/>
        <v>0</v>
      </c>
      <c r="Y168" s="20">
        <f t="shared" si="192"/>
        <v>0</v>
      </c>
      <c r="Z168" s="20">
        <f t="shared" si="192"/>
        <v>0</v>
      </c>
      <c r="AA168" s="20">
        <f t="shared" si="192"/>
        <v>0</v>
      </c>
      <c r="AB168" s="20">
        <f t="shared" ref="AB168" si="193">AB133</f>
        <v>24880.241215276597</v>
      </c>
    </row>
    <row r="169" spans="2:28" x14ac:dyDescent="0.25">
      <c r="B169" s="149" t="s">
        <v>226</v>
      </c>
      <c r="C169" s="124">
        <f>SUM(C164:C168)</f>
        <v>195028.21790312583</v>
      </c>
      <c r="D169" s="124">
        <f t="shared" ref="D169:AA169" si="194">SUM(D164:D168)</f>
        <v>176597.33555509383</v>
      </c>
      <c r="E169" s="124">
        <f t="shared" si="194"/>
        <v>157258.75572040374</v>
      </c>
      <c r="F169" s="124">
        <f t="shared" si="194"/>
        <v>137046.1716107791</v>
      </c>
      <c r="G169" s="124">
        <f t="shared" si="194"/>
        <v>116780.15011303403</v>
      </c>
      <c r="H169" s="124">
        <f t="shared" si="194"/>
        <v>96279.551836614279</v>
      </c>
      <c r="I169" s="124">
        <f t="shared" si="194"/>
        <v>75328.549397333831</v>
      </c>
      <c r="J169" s="124">
        <f t="shared" si="194"/>
        <v>54201.807189943152</v>
      </c>
      <c r="K169" s="124">
        <f t="shared" si="194"/>
        <v>32547.390087827902</v>
      </c>
      <c r="L169" s="124">
        <f t="shared" si="194"/>
        <v>10352.080556829962</v>
      </c>
      <c r="M169" s="124">
        <f t="shared" si="194"/>
        <v>-12397.591748647983</v>
      </c>
      <c r="N169" s="124">
        <f t="shared" si="194"/>
        <v>-1864.5905430221392</v>
      </c>
      <c r="O169" s="124">
        <f t="shared" si="194"/>
        <v>-1861.7827478884246</v>
      </c>
      <c r="P169" s="124">
        <f t="shared" si="194"/>
        <v>-1863.8440429838629</v>
      </c>
      <c r="Q169" s="124">
        <f t="shared" si="194"/>
        <v>-1861.0175853491892</v>
      </c>
      <c r="R169" s="124">
        <f t="shared" si="194"/>
        <v>-1863.0597513811408</v>
      </c>
      <c r="S169" s="124">
        <f t="shared" si="194"/>
        <v>-1140.663510303908</v>
      </c>
      <c r="T169" s="124">
        <f t="shared" si="194"/>
        <v>-420.69624957153428</v>
      </c>
      <c r="U169" s="124">
        <f t="shared" si="194"/>
        <v>-420.26873787716613</v>
      </c>
      <c r="V169" s="124">
        <f t="shared" si="194"/>
        <v>-419.83053839044442</v>
      </c>
      <c r="W169" s="124">
        <f t="shared" si="194"/>
        <v>-419.38138391655229</v>
      </c>
      <c r="X169" s="124">
        <f t="shared" si="194"/>
        <v>-70.470552080812922</v>
      </c>
      <c r="Y169" s="124">
        <f t="shared" si="194"/>
        <v>-69.998659161676187</v>
      </c>
      <c r="Z169" s="124">
        <f t="shared" si="194"/>
        <v>-69.514968919567764</v>
      </c>
      <c r="AA169" s="124">
        <f t="shared" si="194"/>
        <v>-69.01918642140663</v>
      </c>
      <c r="AB169" s="124">
        <f t="shared" ref="AB169" si="195">SUM(AB164:AB168)</f>
        <v>24811.730205915817</v>
      </c>
    </row>
    <row r="170" spans="2:28" x14ac:dyDescent="0.25">
      <c r="B170" s="36" t="s">
        <v>212</v>
      </c>
      <c r="C170" s="20">
        <f>MAX(-IF(C169&lt;0,MAX(C164,0)+SUM(C166:C167),0),0)</f>
        <v>0</v>
      </c>
      <c r="D170" s="20">
        <f t="shared" ref="D170:AB170" si="196">MAX(-IF(D169&lt;0,MAX(D164,0)+SUM(D166:D167),0),0)</f>
        <v>0</v>
      </c>
      <c r="E170" s="20">
        <f t="shared" si="196"/>
        <v>0</v>
      </c>
      <c r="F170" s="20">
        <f t="shared" si="196"/>
        <v>0</v>
      </c>
      <c r="G170" s="20">
        <f t="shared" si="196"/>
        <v>0</v>
      </c>
      <c r="H170" s="20">
        <f t="shared" si="196"/>
        <v>0</v>
      </c>
      <c r="I170" s="20">
        <f t="shared" si="196"/>
        <v>0</v>
      </c>
      <c r="J170" s="20">
        <f t="shared" si="196"/>
        <v>0</v>
      </c>
      <c r="K170" s="20">
        <f t="shared" si="196"/>
        <v>0</v>
      </c>
      <c r="L170" s="20">
        <f t="shared" si="196"/>
        <v>0</v>
      </c>
      <c r="M170" s="20">
        <f t="shared" si="196"/>
        <v>12397.591748647981</v>
      </c>
      <c r="N170" s="20">
        <f t="shared" si="196"/>
        <v>1864.5905430221392</v>
      </c>
      <c r="O170" s="20">
        <f t="shared" si="196"/>
        <v>1861.7827478884246</v>
      </c>
      <c r="P170" s="20">
        <f t="shared" si="196"/>
        <v>1863.8440429838629</v>
      </c>
      <c r="Q170" s="20">
        <f t="shared" si="196"/>
        <v>1861.0175853491892</v>
      </c>
      <c r="R170" s="20">
        <f t="shared" si="196"/>
        <v>1863.0597513811408</v>
      </c>
      <c r="S170" s="20">
        <f t="shared" si="196"/>
        <v>1140.663510303908</v>
      </c>
      <c r="T170" s="20">
        <f t="shared" si="196"/>
        <v>420.69624957153428</v>
      </c>
      <c r="U170" s="20">
        <f t="shared" si="196"/>
        <v>420.26873787716613</v>
      </c>
      <c r="V170" s="20">
        <f t="shared" si="196"/>
        <v>419.83053839044442</v>
      </c>
      <c r="W170" s="20">
        <f t="shared" si="196"/>
        <v>419.38138391655229</v>
      </c>
      <c r="X170" s="20">
        <f t="shared" si="196"/>
        <v>70.470552080812922</v>
      </c>
      <c r="Y170" s="20">
        <f t="shared" si="196"/>
        <v>69.998659161676187</v>
      </c>
      <c r="Z170" s="20">
        <f t="shared" si="196"/>
        <v>69.514968919567764</v>
      </c>
      <c r="AA170" s="20">
        <f t="shared" si="196"/>
        <v>69.01918642140663</v>
      </c>
      <c r="AB170" s="20">
        <f t="shared" si="196"/>
        <v>0</v>
      </c>
    </row>
    <row r="171" spans="2:28" x14ac:dyDescent="0.25">
      <c r="B171" s="36" t="s">
        <v>222</v>
      </c>
      <c r="C171" s="20">
        <f>MIN(0,C131)</f>
        <v>0</v>
      </c>
      <c r="D171" s="20">
        <f t="shared" ref="D171:AA171" si="197">MIN(0,D131)</f>
        <v>-446.92542795729275</v>
      </c>
      <c r="E171" s="20">
        <f t="shared" si="197"/>
        <v>-848.63834272353301</v>
      </c>
      <c r="F171" s="20">
        <f t="shared" si="197"/>
        <v>-417.97708667142871</v>
      </c>
      <c r="G171" s="20">
        <f t="shared" si="197"/>
        <v>-156.35275506927186</v>
      </c>
      <c r="H171" s="20">
        <f t="shared" si="197"/>
        <v>-148.1742833608113</v>
      </c>
      <c r="I171" s="20">
        <f t="shared" si="197"/>
        <v>0</v>
      </c>
      <c r="J171" s="20">
        <f t="shared" si="197"/>
        <v>0</v>
      </c>
      <c r="K171" s="20">
        <f t="shared" si="197"/>
        <v>0</v>
      </c>
      <c r="L171" s="20">
        <f t="shared" si="197"/>
        <v>0</v>
      </c>
      <c r="M171" s="20">
        <f t="shared" si="197"/>
        <v>0</v>
      </c>
      <c r="N171" s="20">
        <f t="shared" si="197"/>
        <v>0</v>
      </c>
      <c r="O171" s="20">
        <f t="shared" si="197"/>
        <v>0</v>
      </c>
      <c r="P171" s="20">
        <f t="shared" si="197"/>
        <v>0</v>
      </c>
      <c r="Q171" s="20">
        <f t="shared" si="197"/>
        <v>0</v>
      </c>
      <c r="R171" s="20">
        <f t="shared" si="197"/>
        <v>0</v>
      </c>
      <c r="S171" s="20">
        <f t="shared" si="197"/>
        <v>0</v>
      </c>
      <c r="T171" s="20">
        <f t="shared" si="197"/>
        <v>0</v>
      </c>
      <c r="U171" s="20">
        <f t="shared" si="197"/>
        <v>0</v>
      </c>
      <c r="V171" s="20">
        <f t="shared" si="197"/>
        <v>0</v>
      </c>
      <c r="W171" s="20">
        <f t="shared" si="197"/>
        <v>0</v>
      </c>
      <c r="X171" s="20">
        <f t="shared" si="197"/>
        <v>0</v>
      </c>
      <c r="Y171" s="20">
        <f t="shared" si="197"/>
        <v>0</v>
      </c>
      <c r="Z171" s="20">
        <f t="shared" si="197"/>
        <v>0</v>
      </c>
      <c r="AA171" s="20">
        <f t="shared" si="197"/>
        <v>0</v>
      </c>
      <c r="AB171" s="20">
        <f>MIN(0,AB131)</f>
        <v>0</v>
      </c>
    </row>
    <row r="172" spans="2:28" x14ac:dyDescent="0.25">
      <c r="B172" s="149" t="s">
        <v>221</v>
      </c>
      <c r="C172" s="150">
        <f>SUM(C171,C167:C168)</f>
        <v>0</v>
      </c>
      <c r="D172" s="150">
        <f t="shared" ref="D172:AA172" si="198">SUM(D171,D167:D168)</f>
        <v>-446.92542795729275</v>
      </c>
      <c r="E172" s="150">
        <f t="shared" si="198"/>
        <v>-848.63834272353301</v>
      </c>
      <c r="F172" s="150">
        <f t="shared" si="198"/>
        <v>-417.97708667142871</v>
      </c>
      <c r="G172" s="150">
        <f t="shared" si="198"/>
        <v>-156.35275506927186</v>
      </c>
      <c r="H172" s="150">
        <f t="shared" si="198"/>
        <v>-148.1742833608113</v>
      </c>
      <c r="I172" s="150">
        <f t="shared" si="198"/>
        <v>50.023503464610847</v>
      </c>
      <c r="J172" s="150">
        <f t="shared" si="198"/>
        <v>247.43074347816847</v>
      </c>
      <c r="K172" s="150">
        <f t="shared" si="198"/>
        <v>254.11017252531497</v>
      </c>
      <c r="L172" s="150">
        <f t="shared" si="198"/>
        <v>260.9309255086402</v>
      </c>
      <c r="M172" s="150">
        <f t="shared" si="198"/>
        <v>267.97416244129846</v>
      </c>
      <c r="N172" s="150">
        <f t="shared" si="198"/>
        <v>26152.201017148309</v>
      </c>
      <c r="O172" s="150">
        <f t="shared" si="198"/>
        <v>26855.428601286276</v>
      </c>
      <c r="P172" s="150">
        <f t="shared" si="198"/>
        <v>27571.297589920203</v>
      </c>
      <c r="Q172" s="150">
        <f t="shared" si="198"/>
        <v>28310.002588377472</v>
      </c>
      <c r="R172" s="150">
        <f t="shared" si="198"/>
        <v>29062.235926688692</v>
      </c>
      <c r="S172" s="150">
        <f t="shared" si="198"/>
        <v>30557.764559717671</v>
      </c>
      <c r="T172" s="150">
        <f t="shared" si="198"/>
        <v>32070.192522200581</v>
      </c>
      <c r="U172" s="150">
        <f t="shared" si="198"/>
        <v>32882.892253189246</v>
      </c>
      <c r="V172" s="150">
        <f t="shared" si="198"/>
        <v>33715.909477452631</v>
      </c>
      <c r="W172" s="150">
        <f t="shared" si="198"/>
        <v>34569.752132322588</v>
      </c>
      <c r="X172" s="150">
        <f t="shared" si="198"/>
        <v>35793.391302064309</v>
      </c>
      <c r="Y172" s="150">
        <f t="shared" si="198"/>
        <v>36690.459741337072</v>
      </c>
      <c r="Z172" s="150">
        <f t="shared" si="198"/>
        <v>37609.954891591646</v>
      </c>
      <c r="AA172" s="150">
        <f t="shared" si="198"/>
        <v>38552.437420602582</v>
      </c>
      <c r="AB172" s="150">
        <f t="shared" ref="AB172" si="199">SUM(AB171,AB167:AB168)</f>
        <v>64398.723228115399</v>
      </c>
    </row>
    <row r="173" spans="2:28" x14ac:dyDescent="0.25">
      <c r="B173" s="149" t="s">
        <v>225</v>
      </c>
      <c r="C173" s="124">
        <f t="shared" ref="C173" si="200">SUM(C164:C166,C170,C172)</f>
        <v>195028.21790312583</v>
      </c>
      <c r="D173" s="124">
        <f t="shared" ref="D173" si="201">SUM(D164:D166,D170,D172)</f>
        <v>176150.41012713654</v>
      </c>
      <c r="E173" s="124">
        <f t="shared" ref="E173" si="202">SUM(E164:E166,E170,E172)</f>
        <v>156410.1173776802</v>
      </c>
      <c r="F173" s="124">
        <f t="shared" ref="F173" si="203">SUM(F164:F166,F170,F172)</f>
        <v>136628.19452410768</v>
      </c>
      <c r="G173" s="124">
        <f t="shared" ref="G173" si="204">SUM(G164:G166,G170,G172)</f>
        <v>116623.79735796477</v>
      </c>
      <c r="H173" s="124">
        <f t="shared" ref="H173" si="205">SUM(H164:H166,H170,H172)</f>
        <v>96131.377553253464</v>
      </c>
      <c r="I173" s="124">
        <f t="shared" ref="I173" si="206">SUM(I164:I166,I170,I172)</f>
        <v>75328.549397333831</v>
      </c>
      <c r="J173" s="124">
        <f t="shared" ref="J173" si="207">SUM(J164:J166,J170,J172)</f>
        <v>54201.807189943152</v>
      </c>
      <c r="K173" s="124">
        <f t="shared" ref="K173" si="208">SUM(K164:K166,K170,K172)</f>
        <v>32547.390087827902</v>
      </c>
      <c r="L173" s="124">
        <f t="shared" ref="L173" si="209">SUM(L164:L166,L170,L172)</f>
        <v>10352.080556829962</v>
      </c>
      <c r="M173" s="124">
        <f t="shared" ref="M173" si="210">SUM(M164:M166,M170,M172)</f>
        <v>-1.5347723092418164E-12</v>
      </c>
      <c r="N173" s="124">
        <f t="shared" ref="N173" si="211">SUM(N164:N166,N170,N172)</f>
        <v>0</v>
      </c>
      <c r="O173" s="124">
        <f t="shared" ref="O173" si="212">SUM(O164:O166,O170,O172)</f>
        <v>0</v>
      </c>
      <c r="P173" s="124">
        <f t="shared" ref="P173" si="213">SUM(P164:P166,P170,P172)</f>
        <v>0</v>
      </c>
      <c r="Q173" s="124">
        <f t="shared" ref="Q173" si="214">SUM(Q164:Q166,Q170,Q172)</f>
        <v>0</v>
      </c>
      <c r="R173" s="124">
        <f t="shared" ref="R173" si="215">SUM(R164:R166,R170,R172)</f>
        <v>0</v>
      </c>
      <c r="S173" s="124">
        <f t="shared" ref="S173" si="216">SUM(S164:S166,S170,S172)</f>
        <v>0</v>
      </c>
      <c r="T173" s="124">
        <f t="shared" ref="T173" si="217">SUM(T164:T166,T170,T172)</f>
        <v>0</v>
      </c>
      <c r="U173" s="124">
        <f t="shared" ref="U173" si="218">SUM(U164:U166,U170,U172)</f>
        <v>0</v>
      </c>
      <c r="V173" s="124">
        <f t="shared" ref="V173" si="219">SUM(V164:V166,V170,V172)</f>
        <v>0</v>
      </c>
      <c r="W173" s="124">
        <f t="shared" ref="W173" si="220">SUM(W164:W166,W170,W172)</f>
        <v>0</v>
      </c>
      <c r="X173" s="124">
        <f t="shared" ref="X173" si="221">SUM(X164:X166,X170,X172)</f>
        <v>0</v>
      </c>
      <c r="Y173" s="124">
        <f t="shared" ref="Y173" si="222">SUM(Y164:Y166,Y170,Y172)</f>
        <v>0</v>
      </c>
      <c r="Z173" s="124">
        <f t="shared" ref="Z173" si="223">SUM(Z164:Z166,Z170,Z172)</f>
        <v>0</v>
      </c>
      <c r="AA173" s="124">
        <f t="shared" ref="AA173" si="224">SUM(AA164:AA166,AA170,AA172)</f>
        <v>0</v>
      </c>
      <c r="AB173" s="124">
        <f>SUM(AB164:AB166,AB170,AB172)</f>
        <v>24811.730205915817</v>
      </c>
    </row>
    <row r="174" spans="2:28" x14ac:dyDescent="0.25">
      <c r="B174" s="36" t="s">
        <v>223</v>
      </c>
      <c r="C174" s="20">
        <f>IF(C173&lt;0,-C173,0)</f>
        <v>0</v>
      </c>
      <c r="D174" s="20">
        <f t="shared" ref="D174" si="225">IF(D173&lt;0,-D173,0)</f>
        <v>0</v>
      </c>
      <c r="E174" s="20">
        <f t="shared" ref="E174" si="226">IF(E173&lt;0,-E173,0)</f>
        <v>0</v>
      </c>
      <c r="F174" s="20">
        <f t="shared" ref="F174" si="227">IF(F173&lt;0,-F173,0)</f>
        <v>0</v>
      </c>
      <c r="G174" s="20">
        <f t="shared" ref="G174" si="228">IF(G173&lt;0,-G173,0)</f>
        <v>0</v>
      </c>
      <c r="H174" s="20">
        <f t="shared" ref="H174" si="229">IF(H173&lt;0,-H173,0)</f>
        <v>0</v>
      </c>
      <c r="I174" s="20">
        <f t="shared" ref="I174" si="230">IF(I173&lt;0,-I173,0)</f>
        <v>0</v>
      </c>
      <c r="J174" s="20">
        <f t="shared" ref="J174" si="231">IF(J173&lt;0,-J173,0)</f>
        <v>0</v>
      </c>
      <c r="K174" s="20">
        <f t="shared" ref="K174" si="232">IF(K173&lt;0,-K173,0)</f>
        <v>0</v>
      </c>
      <c r="L174" s="20">
        <f t="shared" ref="L174" si="233">IF(L173&lt;0,-L173,0)</f>
        <v>0</v>
      </c>
      <c r="M174" s="20">
        <f t="shared" ref="M174" si="234">IF(M173&lt;0,-M173,0)</f>
        <v>1.5347723092418164E-12</v>
      </c>
      <c r="N174" s="20">
        <f t="shared" ref="N174" si="235">IF(N173&lt;0,-N173,0)</f>
        <v>0</v>
      </c>
      <c r="O174" s="20">
        <f t="shared" ref="O174" si="236">IF(O173&lt;0,-O173,0)</f>
        <v>0</v>
      </c>
      <c r="P174" s="20">
        <f t="shared" ref="P174" si="237">IF(P173&lt;0,-P173,0)</f>
        <v>0</v>
      </c>
      <c r="Q174" s="20">
        <f t="shared" ref="Q174" si="238">IF(Q173&lt;0,-Q173,0)</f>
        <v>0</v>
      </c>
      <c r="R174" s="20">
        <f t="shared" ref="R174" si="239">IF(R173&lt;0,-R173,0)</f>
        <v>0</v>
      </c>
      <c r="S174" s="20">
        <f t="shared" ref="S174" si="240">IF(S173&lt;0,-S173,0)</f>
        <v>0</v>
      </c>
      <c r="T174" s="20">
        <f t="shared" ref="T174" si="241">IF(T173&lt;0,-T173,0)</f>
        <v>0</v>
      </c>
      <c r="U174" s="20">
        <f t="shared" ref="U174" si="242">IF(U173&lt;0,-U173,0)</f>
        <v>0</v>
      </c>
      <c r="V174" s="20">
        <f t="shared" ref="V174" si="243">IF(V173&lt;0,-V173,0)</f>
        <v>0</v>
      </c>
      <c r="W174" s="20">
        <f t="shared" ref="W174" si="244">IF(W173&lt;0,-W173,0)</f>
        <v>0</v>
      </c>
      <c r="X174" s="20">
        <f t="shared" ref="X174" si="245">IF(X173&lt;0,-X173,0)</f>
        <v>0</v>
      </c>
      <c r="Y174" s="20">
        <f t="shared" ref="Y174" si="246">IF(Y173&lt;0,-Y173,0)</f>
        <v>0</v>
      </c>
      <c r="Z174" s="20">
        <f t="shared" ref="Z174" si="247">IF(Z173&lt;0,-Z173,0)</f>
        <v>0</v>
      </c>
      <c r="AA174" s="20">
        <f t="shared" ref="AA174" si="248">IF(AA173&lt;0,-AA173,0)</f>
        <v>0</v>
      </c>
      <c r="AB174" s="20">
        <f t="shared" ref="AB174" si="249">IF(AB173&lt;0,-AB173,0)</f>
        <v>0</v>
      </c>
    </row>
    <row r="175" spans="2:28" x14ac:dyDescent="0.25">
      <c r="B175" s="36" t="s">
        <v>227</v>
      </c>
      <c r="C175" s="20">
        <v>0</v>
      </c>
      <c r="D175" s="20">
        <f>-IF(AND(C178&gt;0,D173&gt;0),MIN(C178,D173),0)</f>
        <v>0</v>
      </c>
      <c r="E175" s="20">
        <f t="shared" ref="E175:AB175" si="250">-IF(AND(D178&gt;0,E173&gt;0),MIN(D178,E173),0)</f>
        <v>0</v>
      </c>
      <c r="F175" s="20">
        <f t="shared" si="250"/>
        <v>0</v>
      </c>
      <c r="G175" s="20">
        <f t="shared" si="250"/>
        <v>0</v>
      </c>
      <c r="H175" s="20">
        <f t="shared" si="250"/>
        <v>0</v>
      </c>
      <c r="I175" s="20">
        <f t="shared" si="250"/>
        <v>0</v>
      </c>
      <c r="J175" s="20">
        <f t="shared" si="250"/>
        <v>0</v>
      </c>
      <c r="K175" s="20">
        <f t="shared" si="250"/>
        <v>0</v>
      </c>
      <c r="L175" s="20">
        <f t="shared" si="250"/>
        <v>0</v>
      </c>
      <c r="M175" s="20">
        <f t="shared" si="250"/>
        <v>0</v>
      </c>
      <c r="N175" s="20">
        <f t="shared" si="250"/>
        <v>0</v>
      </c>
      <c r="O175" s="20">
        <f t="shared" si="250"/>
        <v>0</v>
      </c>
      <c r="P175" s="20">
        <f t="shared" si="250"/>
        <v>0</v>
      </c>
      <c r="Q175" s="20">
        <f t="shared" si="250"/>
        <v>0</v>
      </c>
      <c r="R175" s="20">
        <f t="shared" si="250"/>
        <v>0</v>
      </c>
      <c r="S175" s="20">
        <f t="shared" si="250"/>
        <v>0</v>
      </c>
      <c r="T175" s="20">
        <f t="shared" si="250"/>
        <v>0</v>
      </c>
      <c r="U175" s="20">
        <f t="shared" si="250"/>
        <v>0</v>
      </c>
      <c r="V175" s="20">
        <f t="shared" si="250"/>
        <v>0</v>
      </c>
      <c r="W175" s="20">
        <f t="shared" si="250"/>
        <v>0</v>
      </c>
      <c r="X175" s="20">
        <f t="shared" si="250"/>
        <v>0</v>
      </c>
      <c r="Y175" s="20">
        <f t="shared" si="250"/>
        <v>0</v>
      </c>
      <c r="Z175" s="20">
        <f t="shared" si="250"/>
        <v>0</v>
      </c>
      <c r="AA175" s="20">
        <f t="shared" si="250"/>
        <v>0</v>
      </c>
      <c r="AB175" s="20">
        <f t="shared" si="250"/>
        <v>-1.5347723092418164E-12</v>
      </c>
    </row>
    <row r="176" spans="2:28" x14ac:dyDescent="0.25">
      <c r="B176" s="36" t="s">
        <v>246</v>
      </c>
      <c r="C176" s="20">
        <v>0</v>
      </c>
      <c r="D176" s="20">
        <v>0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  <c r="S176" s="20">
        <v>0</v>
      </c>
      <c r="T176" s="20">
        <v>0</v>
      </c>
      <c r="U176" s="20">
        <v>0</v>
      </c>
      <c r="V176" s="20">
        <v>0</v>
      </c>
      <c r="W176" s="20">
        <v>0</v>
      </c>
      <c r="X176" s="20">
        <v>0</v>
      </c>
      <c r="Y176" s="20">
        <v>0</v>
      </c>
      <c r="Z176" s="20">
        <v>0</v>
      </c>
      <c r="AA176" s="20">
        <v>0</v>
      </c>
      <c r="AB176" s="20">
        <f>-SUM(AB173:AB175)</f>
        <v>-24811.730205915817</v>
      </c>
    </row>
    <row r="177" spans="1:29" ht="14.4" thickBot="1" x14ac:dyDescent="0.3">
      <c r="B177" s="125" t="s">
        <v>71</v>
      </c>
      <c r="C177" s="126">
        <f>SUM(C173:C176)</f>
        <v>195028.21790312583</v>
      </c>
      <c r="D177" s="126">
        <f t="shared" ref="D177:AB177" si="251">SUM(D173:D176)</f>
        <v>176150.41012713654</v>
      </c>
      <c r="E177" s="126">
        <f t="shared" si="251"/>
        <v>156410.1173776802</v>
      </c>
      <c r="F177" s="126">
        <f t="shared" si="251"/>
        <v>136628.19452410768</v>
      </c>
      <c r="G177" s="126">
        <f t="shared" si="251"/>
        <v>116623.79735796477</v>
      </c>
      <c r="H177" s="126">
        <f t="shared" si="251"/>
        <v>96131.377553253464</v>
      </c>
      <c r="I177" s="126">
        <f t="shared" si="251"/>
        <v>75328.549397333831</v>
      </c>
      <c r="J177" s="126">
        <f t="shared" si="251"/>
        <v>54201.807189943152</v>
      </c>
      <c r="K177" s="126">
        <f t="shared" si="251"/>
        <v>32547.390087827902</v>
      </c>
      <c r="L177" s="126">
        <f t="shared" si="251"/>
        <v>10352.080556829962</v>
      </c>
      <c r="M177" s="126">
        <f t="shared" si="251"/>
        <v>0</v>
      </c>
      <c r="N177" s="126">
        <f t="shared" si="251"/>
        <v>0</v>
      </c>
      <c r="O177" s="126">
        <f t="shared" si="251"/>
        <v>0</v>
      </c>
      <c r="P177" s="126">
        <f t="shared" si="251"/>
        <v>0</v>
      </c>
      <c r="Q177" s="126">
        <f t="shared" si="251"/>
        <v>0</v>
      </c>
      <c r="R177" s="126">
        <f t="shared" si="251"/>
        <v>0</v>
      </c>
      <c r="S177" s="126">
        <f t="shared" si="251"/>
        <v>0</v>
      </c>
      <c r="T177" s="126">
        <f t="shared" si="251"/>
        <v>0</v>
      </c>
      <c r="U177" s="126">
        <f t="shared" si="251"/>
        <v>0</v>
      </c>
      <c r="V177" s="126">
        <f t="shared" si="251"/>
        <v>0</v>
      </c>
      <c r="W177" s="126">
        <f t="shared" si="251"/>
        <v>0</v>
      </c>
      <c r="X177" s="126">
        <f t="shared" si="251"/>
        <v>0</v>
      </c>
      <c r="Y177" s="126">
        <f t="shared" si="251"/>
        <v>0</v>
      </c>
      <c r="Z177" s="126">
        <f t="shared" si="251"/>
        <v>0</v>
      </c>
      <c r="AA177" s="126">
        <f t="shared" si="251"/>
        <v>0</v>
      </c>
      <c r="AB177" s="126">
        <f t="shared" si="251"/>
        <v>0</v>
      </c>
    </row>
    <row r="178" spans="1:29" ht="15" thickTop="1" x14ac:dyDescent="0.3">
      <c r="B178" s="90" t="s">
        <v>224</v>
      </c>
      <c r="C178" s="156"/>
      <c r="D178" s="156">
        <f t="shared" ref="D178:AB178" si="252">SUM(D174:D175,C178)</f>
        <v>0</v>
      </c>
      <c r="E178" s="156">
        <f t="shared" si="252"/>
        <v>0</v>
      </c>
      <c r="F178" s="156">
        <f t="shared" si="252"/>
        <v>0</v>
      </c>
      <c r="G178" s="156">
        <f t="shared" si="252"/>
        <v>0</v>
      </c>
      <c r="H178" s="156">
        <f t="shared" si="252"/>
        <v>0</v>
      </c>
      <c r="I178" s="156">
        <f t="shared" si="252"/>
        <v>0</v>
      </c>
      <c r="J178" s="156">
        <f t="shared" si="252"/>
        <v>0</v>
      </c>
      <c r="K178" s="156">
        <f t="shared" si="252"/>
        <v>0</v>
      </c>
      <c r="L178" s="156">
        <f t="shared" si="252"/>
        <v>0</v>
      </c>
      <c r="M178" s="156">
        <f t="shared" si="252"/>
        <v>1.5347723092418164E-12</v>
      </c>
      <c r="N178" s="156">
        <f t="shared" si="252"/>
        <v>1.5347723092418164E-12</v>
      </c>
      <c r="O178" s="156">
        <f t="shared" si="252"/>
        <v>1.5347723092418164E-12</v>
      </c>
      <c r="P178" s="156">
        <f t="shared" si="252"/>
        <v>1.5347723092418164E-12</v>
      </c>
      <c r="Q178" s="156">
        <f t="shared" si="252"/>
        <v>1.5347723092418164E-12</v>
      </c>
      <c r="R178" s="156">
        <f t="shared" si="252"/>
        <v>1.5347723092418164E-12</v>
      </c>
      <c r="S178" s="156">
        <f t="shared" si="252"/>
        <v>1.5347723092418164E-12</v>
      </c>
      <c r="T178" s="156">
        <f t="shared" si="252"/>
        <v>1.5347723092418164E-12</v>
      </c>
      <c r="U178" s="156">
        <f t="shared" si="252"/>
        <v>1.5347723092418164E-12</v>
      </c>
      <c r="V178" s="156">
        <f t="shared" si="252"/>
        <v>1.5347723092418164E-12</v>
      </c>
      <c r="W178" s="156">
        <f t="shared" si="252"/>
        <v>1.5347723092418164E-12</v>
      </c>
      <c r="X178" s="156">
        <f t="shared" si="252"/>
        <v>1.5347723092418164E-12</v>
      </c>
      <c r="Y178" s="156">
        <f t="shared" si="252"/>
        <v>1.5347723092418164E-12</v>
      </c>
      <c r="Z178" s="156">
        <f t="shared" si="252"/>
        <v>1.5347723092418164E-12</v>
      </c>
      <c r="AA178" s="156">
        <f t="shared" si="252"/>
        <v>1.5347723092418164E-12</v>
      </c>
      <c r="AB178" s="156">
        <f t="shared" si="252"/>
        <v>0</v>
      </c>
    </row>
    <row r="179" spans="1:29" x14ac:dyDescent="0.25">
      <c r="C179" s="20"/>
      <c r="AC179" s="131"/>
    </row>
    <row r="180" spans="1:29" x14ac:dyDescent="0.25">
      <c r="A180" s="35"/>
      <c r="B180" s="35" t="s">
        <v>184</v>
      </c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131"/>
    </row>
    <row r="181" spans="1:29" x14ac:dyDescent="0.25">
      <c r="AC181" s="131"/>
    </row>
    <row r="182" spans="1:29" x14ac:dyDescent="0.25">
      <c r="B182" s="33" t="s">
        <v>116</v>
      </c>
      <c r="C182" s="121"/>
      <c r="D182" s="121">
        <v>1</v>
      </c>
      <c r="E182" s="121">
        <f t="shared" ref="E182:W182" si="253">D182+1</f>
        <v>2</v>
      </c>
      <c r="F182" s="121">
        <f t="shared" si="253"/>
        <v>3</v>
      </c>
      <c r="G182" s="121">
        <f t="shared" si="253"/>
        <v>4</v>
      </c>
      <c r="H182" s="121">
        <f t="shared" si="253"/>
        <v>5</v>
      </c>
      <c r="I182" s="121">
        <f t="shared" si="253"/>
        <v>6</v>
      </c>
      <c r="J182" s="121">
        <f t="shared" si="253"/>
        <v>7</v>
      </c>
      <c r="K182" s="121">
        <f t="shared" si="253"/>
        <v>8</v>
      </c>
      <c r="L182" s="121">
        <f t="shared" si="253"/>
        <v>9</v>
      </c>
      <c r="M182" s="121">
        <f t="shared" si="253"/>
        <v>10</v>
      </c>
      <c r="N182" s="121">
        <f t="shared" si="253"/>
        <v>11</v>
      </c>
      <c r="O182" s="121">
        <f t="shared" si="253"/>
        <v>12</v>
      </c>
      <c r="P182" s="121">
        <f t="shared" si="253"/>
        <v>13</v>
      </c>
      <c r="Q182" s="121">
        <f t="shared" si="253"/>
        <v>14</v>
      </c>
      <c r="R182" s="121">
        <f t="shared" si="253"/>
        <v>15</v>
      </c>
      <c r="S182" s="121">
        <f t="shared" si="253"/>
        <v>16</v>
      </c>
      <c r="T182" s="121">
        <f t="shared" si="253"/>
        <v>17</v>
      </c>
      <c r="U182" s="121">
        <f t="shared" si="253"/>
        <v>18</v>
      </c>
      <c r="V182" s="121">
        <f t="shared" si="253"/>
        <v>19</v>
      </c>
      <c r="W182" s="121">
        <f t="shared" si="253"/>
        <v>20</v>
      </c>
      <c r="X182" s="121">
        <f t="shared" ref="X182:AB182" si="254">W182+1</f>
        <v>21</v>
      </c>
      <c r="Y182" s="121">
        <f t="shared" si="254"/>
        <v>22</v>
      </c>
      <c r="Z182" s="121">
        <f t="shared" si="254"/>
        <v>23</v>
      </c>
      <c r="AA182" s="121">
        <f t="shared" si="254"/>
        <v>24</v>
      </c>
      <c r="AB182" s="154">
        <f t="shared" si="254"/>
        <v>25</v>
      </c>
      <c r="AC182" s="132"/>
    </row>
    <row r="183" spans="1:29" x14ac:dyDescent="0.25">
      <c r="B183" s="101" t="s">
        <v>155</v>
      </c>
      <c r="D183" s="20">
        <f>Depreciation!E26</f>
        <v>4699.9191441504081</v>
      </c>
      <c r="E183" s="20">
        <f>Depreciation!F26</f>
        <v>7527.4043293589784</v>
      </c>
      <c r="F183" s="20">
        <f>Depreciation!G26</f>
        <v>4579.9767901399828</v>
      </c>
      <c r="G183" s="20">
        <f>Depreciation!H26</f>
        <v>2806.5343278204527</v>
      </c>
      <c r="H183" s="20">
        <f>Depreciation!I26</f>
        <v>2792.8229961530888</v>
      </c>
      <c r="I183" s="20">
        <f>Depreciation!J26</f>
        <v>1461.6282166482342</v>
      </c>
      <c r="J183" s="20">
        <f>Depreciation!K26</f>
        <v>137.02199911340995</v>
      </c>
      <c r="K183" s="20">
        <f>Depreciation!L26</f>
        <v>137.02199911340995</v>
      </c>
      <c r="L183" s="20">
        <f>Depreciation!M26</f>
        <v>137.20006835584309</v>
      </c>
      <c r="M183" s="20">
        <f>Depreciation!N26</f>
        <v>137.02199911340995</v>
      </c>
      <c r="N183" s="20">
        <f>Depreciation!O26</f>
        <v>137.20006835584309</v>
      </c>
      <c r="O183" s="20">
        <f>Depreciation!P26</f>
        <v>137.02199911340995</v>
      </c>
      <c r="P183" s="20">
        <f>Depreciation!Q26</f>
        <v>137.20006835584309</v>
      </c>
      <c r="Q183" s="20">
        <f>Depreciation!R26</f>
        <v>137.02199911340995</v>
      </c>
      <c r="R183" s="20">
        <f>Depreciation!S26</f>
        <v>137.20006835584309</v>
      </c>
      <c r="S183" s="20">
        <f>Depreciation!T26</f>
        <v>84.491572595590014</v>
      </c>
      <c r="T183" s="20">
        <f>Depreciation!U26</f>
        <v>31.96114607776974</v>
      </c>
      <c r="U183" s="20">
        <f>Depreciation!V26</f>
        <v>31.96114607776974</v>
      </c>
      <c r="V183" s="20">
        <f>Depreciation!W26</f>
        <v>31.96114607776974</v>
      </c>
      <c r="W183" s="20">
        <f>Depreciation!X26</f>
        <v>31.96114607776974</v>
      </c>
      <c r="AC183" s="131"/>
    </row>
    <row r="184" spans="1:29" x14ac:dyDescent="0.25">
      <c r="AC184" s="131"/>
    </row>
    <row r="185" spans="1:29" x14ac:dyDescent="0.25">
      <c r="B185" s="2" t="s">
        <v>159</v>
      </c>
      <c r="D185" s="129">
        <f>'Tax Equity and Partnership'!D47</f>
        <v>0.99</v>
      </c>
      <c r="E185" s="129">
        <f>'Tax Equity and Partnership'!E47</f>
        <v>0.99</v>
      </c>
      <c r="F185" s="129">
        <f>'Tax Equity and Partnership'!F47</f>
        <v>0.99</v>
      </c>
      <c r="G185" s="129">
        <f>'Tax Equity and Partnership'!G47</f>
        <v>0.99</v>
      </c>
      <c r="H185" s="129">
        <f>'Tax Equity and Partnership'!H47</f>
        <v>0.99</v>
      </c>
      <c r="I185" s="129">
        <f>'Tax Equity and Partnership'!I47</f>
        <v>0.99</v>
      </c>
      <c r="J185" s="129">
        <f>'Tax Equity and Partnership'!J47</f>
        <v>0.99</v>
      </c>
      <c r="K185" s="129">
        <f>'Tax Equity and Partnership'!K47</f>
        <v>0.99</v>
      </c>
      <c r="L185" s="129">
        <f>'Tax Equity and Partnership'!L47</f>
        <v>0.99</v>
      </c>
      <c r="M185" s="129">
        <f>'Tax Equity and Partnership'!M47</f>
        <v>0.99</v>
      </c>
      <c r="N185" s="129">
        <f>'Tax Equity and Partnership'!N47</f>
        <v>0.05</v>
      </c>
      <c r="O185" s="129">
        <f>'Tax Equity and Partnership'!O47</f>
        <v>0.05</v>
      </c>
      <c r="P185" s="129">
        <f>'Tax Equity and Partnership'!P47</f>
        <v>0.05</v>
      </c>
      <c r="Q185" s="129">
        <f>'Tax Equity and Partnership'!Q47</f>
        <v>0.05</v>
      </c>
      <c r="R185" s="129">
        <f>'Tax Equity and Partnership'!R47</f>
        <v>0.05</v>
      </c>
      <c r="S185" s="129">
        <f>'Tax Equity and Partnership'!S47</f>
        <v>0.05</v>
      </c>
      <c r="T185" s="129">
        <f>'Tax Equity and Partnership'!T47</f>
        <v>0.05</v>
      </c>
      <c r="U185" s="129">
        <f>'Tax Equity and Partnership'!U47</f>
        <v>0.05</v>
      </c>
      <c r="V185" s="129">
        <f>'Tax Equity and Partnership'!V47</f>
        <v>0.05</v>
      </c>
      <c r="W185" s="129">
        <f>'Tax Equity and Partnership'!W47</f>
        <v>0.05</v>
      </c>
      <c r="X185" s="129">
        <f t="shared" ref="X185:AB185" si="255">W185</f>
        <v>0.05</v>
      </c>
      <c r="Y185" s="129">
        <f t="shared" si="255"/>
        <v>0.05</v>
      </c>
      <c r="Z185" s="129">
        <f t="shared" si="255"/>
        <v>0.05</v>
      </c>
      <c r="AA185" s="129">
        <f t="shared" si="255"/>
        <v>0.05</v>
      </c>
      <c r="AB185" s="129">
        <f t="shared" si="255"/>
        <v>0.05</v>
      </c>
      <c r="AC185" s="144"/>
    </row>
    <row r="186" spans="1:29" x14ac:dyDescent="0.25">
      <c r="B186" s="2" t="s">
        <v>160</v>
      </c>
      <c r="D186" s="129">
        <f t="shared" ref="D186:W186" si="256">1-D185</f>
        <v>1.0000000000000009E-2</v>
      </c>
      <c r="E186" s="129">
        <f t="shared" si="256"/>
        <v>1.0000000000000009E-2</v>
      </c>
      <c r="F186" s="129">
        <f t="shared" si="256"/>
        <v>1.0000000000000009E-2</v>
      </c>
      <c r="G186" s="129">
        <f t="shared" si="256"/>
        <v>1.0000000000000009E-2</v>
      </c>
      <c r="H186" s="129">
        <f t="shared" si="256"/>
        <v>1.0000000000000009E-2</v>
      </c>
      <c r="I186" s="129">
        <f t="shared" si="256"/>
        <v>1.0000000000000009E-2</v>
      </c>
      <c r="J186" s="129">
        <f t="shared" si="256"/>
        <v>1.0000000000000009E-2</v>
      </c>
      <c r="K186" s="129">
        <f t="shared" si="256"/>
        <v>1.0000000000000009E-2</v>
      </c>
      <c r="L186" s="129">
        <f t="shared" si="256"/>
        <v>1.0000000000000009E-2</v>
      </c>
      <c r="M186" s="129">
        <f t="shared" si="256"/>
        <v>1.0000000000000009E-2</v>
      </c>
      <c r="N186" s="129">
        <f t="shared" si="256"/>
        <v>0.95</v>
      </c>
      <c r="O186" s="129">
        <f t="shared" si="256"/>
        <v>0.95</v>
      </c>
      <c r="P186" s="129">
        <f t="shared" si="256"/>
        <v>0.95</v>
      </c>
      <c r="Q186" s="129">
        <f t="shared" si="256"/>
        <v>0.95</v>
      </c>
      <c r="R186" s="129">
        <f t="shared" si="256"/>
        <v>0.95</v>
      </c>
      <c r="S186" s="129">
        <f t="shared" si="256"/>
        <v>0.95</v>
      </c>
      <c r="T186" s="129">
        <f t="shared" si="256"/>
        <v>0.95</v>
      </c>
      <c r="U186" s="129">
        <f t="shared" si="256"/>
        <v>0.95</v>
      </c>
      <c r="V186" s="129">
        <f t="shared" si="256"/>
        <v>0.95</v>
      </c>
      <c r="W186" s="129">
        <f t="shared" si="256"/>
        <v>0.95</v>
      </c>
      <c r="X186" s="129">
        <f t="shared" ref="X186:AB186" si="257">W186</f>
        <v>0.95</v>
      </c>
      <c r="Y186" s="129">
        <f t="shared" si="257"/>
        <v>0.95</v>
      </c>
      <c r="Z186" s="129">
        <f t="shared" si="257"/>
        <v>0.95</v>
      </c>
      <c r="AA186" s="129">
        <f t="shared" si="257"/>
        <v>0.95</v>
      </c>
      <c r="AB186" s="129">
        <f t="shared" si="257"/>
        <v>0.95</v>
      </c>
      <c r="AC186" s="144"/>
    </row>
    <row r="187" spans="1:29" x14ac:dyDescent="0.25">
      <c r="AC187" s="131"/>
    </row>
    <row r="188" spans="1:29" x14ac:dyDescent="0.25">
      <c r="B188" s="2" t="s">
        <v>161</v>
      </c>
      <c r="C188" s="20"/>
      <c r="D188" s="20">
        <f>D185*Depreciation!E$22</f>
        <v>67053.834273461543</v>
      </c>
      <c r="E188" s="20">
        <f>E185*Depreciation!F$22</f>
        <v>107393.61825796153</v>
      </c>
      <c r="F188" s="20">
        <f>F185*Depreciation!G$22</f>
        <v>65342.614467011532</v>
      </c>
      <c r="G188" s="20">
        <f>G185*Depreciation!H$22</f>
        <v>40040.877710561537</v>
      </c>
      <c r="H188" s="20">
        <f>H185*Depreciation!I$22</f>
        <v>39845.257885391533</v>
      </c>
      <c r="I188" s="20">
        <f>I185*Depreciation!J$22</f>
        <v>20853.077085491535</v>
      </c>
      <c r="J188" s="20">
        <f>J185*Depreciation!K$22</f>
        <v>1954.8954223615381</v>
      </c>
      <c r="K188" s="20">
        <f>K185*Depreciation!L$22</f>
        <v>1954.8954223615381</v>
      </c>
      <c r="L188" s="20">
        <f>L185*Depreciation!M$22</f>
        <v>1957.435939571538</v>
      </c>
      <c r="M188" s="20">
        <f>M185*Depreciation!N$22</f>
        <v>1954.8954223615381</v>
      </c>
      <c r="N188" s="20">
        <f>N185*Depreciation!O$22</f>
        <v>98.860400988461521</v>
      </c>
      <c r="O188" s="20">
        <f>O185*Depreciation!P$22</f>
        <v>98.732092038461531</v>
      </c>
      <c r="P188" s="20">
        <f>P185*Depreciation!Q$22</f>
        <v>98.860400988461521</v>
      </c>
      <c r="Q188" s="20">
        <f>Q185*Depreciation!R$22</f>
        <v>98.732092038461531</v>
      </c>
      <c r="R188" s="20">
        <f>R185*Depreciation!S$22</f>
        <v>98.860400988461521</v>
      </c>
      <c r="S188" s="20">
        <f>S185*Depreciation!T$22</f>
        <v>60.88095178846153</v>
      </c>
      <c r="T188" s="20">
        <f>T185*Depreciation!U$22</f>
        <v>23.029811538461537</v>
      </c>
      <c r="U188" s="20">
        <f>U185*Depreciation!V$22</f>
        <v>23.029811538461537</v>
      </c>
      <c r="V188" s="20">
        <f>V185*Depreciation!W$22</f>
        <v>23.029811538461537</v>
      </c>
      <c r="W188" s="20">
        <f>W185*Depreciation!X$22</f>
        <v>23.029811538461537</v>
      </c>
      <c r="X188" s="20">
        <f>X185*Depreciation!Y$22</f>
        <v>4.6999615384615376</v>
      </c>
      <c r="Y188" s="20">
        <f>Y185*Depreciation!Z$22</f>
        <v>4.6999615384615376</v>
      </c>
      <c r="Z188" s="20">
        <f>Z185*Depreciation!AA$22</f>
        <v>4.6999615384615376</v>
      </c>
      <c r="AA188" s="20">
        <f>AA185*Depreciation!AB$22</f>
        <v>4.6999615384615376</v>
      </c>
      <c r="AB188" s="20">
        <f>AB185*Depreciation!AC$22</f>
        <v>4.6999615384615376</v>
      </c>
      <c r="AC188" s="145"/>
    </row>
    <row r="189" spans="1:29" x14ac:dyDescent="0.25">
      <c r="B189" s="16" t="s">
        <v>166</v>
      </c>
      <c r="C189" s="20"/>
      <c r="D189" s="20">
        <f>MAX(D188-Depreciation!E24,0)</f>
        <v>4022.607686842719</v>
      </c>
      <c r="E189" s="20">
        <f>MAX(E188-Depreciation!F24,0)</f>
        <v>6442.6203065512818</v>
      </c>
      <c r="F189" s="20">
        <f>MAX(F188-Depreciation!G24,0)</f>
        <v>3919.9503813822885</v>
      </c>
      <c r="G189" s="20">
        <f>MAX(G188-Depreciation!H24,0)</f>
        <v>2402.0810176127634</v>
      </c>
      <c r="H189" s="20">
        <f>MAX(H188-Depreciation!I24,0)</f>
        <v>2390.3456437753994</v>
      </c>
      <c r="I189" s="20">
        <f>MAX(I188-Depreciation!J24,0)</f>
        <v>1250.9910743705404</v>
      </c>
      <c r="J189" s="20">
        <f>MAX(J188-Depreciation!K24,0)</f>
        <v>117.27558070571763</v>
      </c>
      <c r="K189" s="20">
        <f>MAX(K188-Depreciation!L24,0)</f>
        <v>117.27558070571763</v>
      </c>
      <c r="L189" s="20">
        <f>MAX(L188-Depreciation!M24,0)</f>
        <v>117.42798815815081</v>
      </c>
      <c r="M189" s="20">
        <f>MAX(M188-Depreciation!N24,0)</f>
        <v>117.27558070571763</v>
      </c>
      <c r="N189" s="20">
        <f>MAX(N188-Depreciation!O24,0)</f>
        <v>0</v>
      </c>
      <c r="O189" s="20">
        <f>MAX(O188-Depreciation!P24,0)</f>
        <v>0</v>
      </c>
      <c r="P189" s="20">
        <f>MAX(P188-Depreciation!Q24,0)</f>
        <v>0</v>
      </c>
      <c r="Q189" s="20">
        <f>MAX(Q188-Depreciation!R24,0)</f>
        <v>0</v>
      </c>
      <c r="R189" s="20">
        <f>MAX(R188-Depreciation!S24,0)</f>
        <v>0</v>
      </c>
      <c r="S189" s="20">
        <f>MAX(S188-Depreciation!T24,0)</f>
        <v>0</v>
      </c>
      <c r="T189" s="20">
        <f>MAX(T188-Depreciation!U24,0)</f>
        <v>0</v>
      </c>
      <c r="U189" s="20">
        <f>MAX(U188-Depreciation!V24,0)</f>
        <v>0</v>
      </c>
      <c r="V189" s="20">
        <f>MAX(V188-Depreciation!W24,0)</f>
        <v>0</v>
      </c>
      <c r="W189" s="20">
        <f>MAX(W188-Depreciation!X24,0)</f>
        <v>0</v>
      </c>
      <c r="X189" s="20">
        <f>MAX(X188-Depreciation!Y24,0)</f>
        <v>0</v>
      </c>
      <c r="Y189" s="20">
        <f>MAX(Y188-Depreciation!Z24,0)</f>
        <v>0</v>
      </c>
      <c r="Z189" s="20">
        <f>MAX(Z188-Depreciation!AA24,0)</f>
        <v>0</v>
      </c>
      <c r="AA189" s="20">
        <f>MAX(AA188-Depreciation!AB24,0)</f>
        <v>0</v>
      </c>
      <c r="AB189" s="20">
        <f>MAX(AB188-Depreciation!AC24,0)</f>
        <v>0</v>
      </c>
      <c r="AC189" s="145"/>
    </row>
    <row r="190" spans="1:29" x14ac:dyDescent="0.25"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145"/>
    </row>
    <row r="191" spans="1:29" x14ac:dyDescent="0.25">
      <c r="B191" s="2" t="s">
        <v>162</v>
      </c>
      <c r="C191" s="20"/>
      <c r="D191" s="20">
        <f>D186*Depreciation!E$22</f>
        <v>677.31145730769288</v>
      </c>
      <c r="E191" s="20">
        <f>E186*Depreciation!F$22</f>
        <v>1084.7840228076932</v>
      </c>
      <c r="F191" s="20">
        <f>F186*Depreciation!G$22</f>
        <v>660.02640875769282</v>
      </c>
      <c r="G191" s="20">
        <f>G186*Depreciation!H$22</f>
        <v>404.45331020769265</v>
      </c>
      <c r="H191" s="20">
        <f>H186*Depreciation!I$22</f>
        <v>402.47735237769257</v>
      </c>
      <c r="I191" s="20">
        <f>I186*Depreciation!J$22</f>
        <v>210.63714227769248</v>
      </c>
      <c r="J191" s="20">
        <f>J186*Depreciation!K$22</f>
        <v>19.746418407692321</v>
      </c>
      <c r="K191" s="20">
        <f>K186*Depreciation!L$22</f>
        <v>19.746418407692321</v>
      </c>
      <c r="L191" s="20">
        <f>L186*Depreciation!M$22</f>
        <v>19.772080197692322</v>
      </c>
      <c r="M191" s="20">
        <f>M186*Depreciation!N$22</f>
        <v>19.746418407692321</v>
      </c>
      <c r="N191" s="20">
        <f>N186*Depreciation!O$22</f>
        <v>1878.3476187807687</v>
      </c>
      <c r="O191" s="20">
        <f>O186*Depreciation!P$22</f>
        <v>1875.9097487307688</v>
      </c>
      <c r="P191" s="20">
        <f>P186*Depreciation!Q$22</f>
        <v>1878.3476187807687</v>
      </c>
      <c r="Q191" s="20">
        <f>Q186*Depreciation!R$22</f>
        <v>1875.9097487307688</v>
      </c>
      <c r="R191" s="20">
        <f>R186*Depreciation!S$22</f>
        <v>1878.3476187807687</v>
      </c>
      <c r="S191" s="20">
        <f>S186*Depreciation!T$22</f>
        <v>1156.738083980769</v>
      </c>
      <c r="T191" s="20">
        <f>T186*Depreciation!U$22</f>
        <v>437.56641923076916</v>
      </c>
      <c r="U191" s="20">
        <f>U186*Depreciation!V$22</f>
        <v>437.56641923076916</v>
      </c>
      <c r="V191" s="20">
        <f>V186*Depreciation!W$22</f>
        <v>437.56641923076916</v>
      </c>
      <c r="W191" s="20">
        <f>W186*Depreciation!X$22</f>
        <v>437.56641923076916</v>
      </c>
      <c r="X191" s="20">
        <f>X186*Depreciation!Y$22</f>
        <v>89.299269230769212</v>
      </c>
      <c r="Y191" s="20">
        <f>Y186*Depreciation!Z$22</f>
        <v>89.299269230769212</v>
      </c>
      <c r="Z191" s="20">
        <f>Z186*Depreciation!AA$22</f>
        <v>89.299269230769212</v>
      </c>
      <c r="AA191" s="20">
        <f>AA186*Depreciation!AB$22</f>
        <v>89.299269230769212</v>
      </c>
      <c r="AB191" s="20">
        <f>AB186*Depreciation!AC$22</f>
        <v>89.299269230769212</v>
      </c>
      <c r="AC191" s="145"/>
    </row>
    <row r="192" spans="1:29" x14ac:dyDescent="0.25">
      <c r="C192" s="20"/>
      <c r="AC192" s="131"/>
    </row>
    <row r="193" spans="2:29" x14ac:dyDescent="0.25">
      <c r="B193" s="38" t="s">
        <v>184</v>
      </c>
      <c r="C193" s="39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131"/>
    </row>
    <row r="195" spans="2:29" x14ac:dyDescent="0.25">
      <c r="B195" s="2" t="s">
        <v>164</v>
      </c>
      <c r="C195" s="20"/>
      <c r="D195" s="20">
        <f t="shared" ref="D195:AA195" si="258">D189</f>
        <v>4022.607686842719</v>
      </c>
      <c r="E195" s="20">
        <f t="shared" si="258"/>
        <v>6442.6203065512818</v>
      </c>
      <c r="F195" s="20">
        <f t="shared" si="258"/>
        <v>3919.9503813822885</v>
      </c>
      <c r="G195" s="20">
        <f t="shared" si="258"/>
        <v>2402.0810176127634</v>
      </c>
      <c r="H195" s="20">
        <f t="shared" si="258"/>
        <v>2390.3456437753994</v>
      </c>
      <c r="I195" s="20">
        <f t="shared" si="258"/>
        <v>1250.9910743705404</v>
      </c>
      <c r="J195" s="20">
        <f t="shared" si="258"/>
        <v>117.27558070571763</v>
      </c>
      <c r="K195" s="20">
        <f t="shared" si="258"/>
        <v>117.27558070571763</v>
      </c>
      <c r="L195" s="20">
        <f t="shared" si="258"/>
        <v>117.42798815815081</v>
      </c>
      <c r="M195" s="20">
        <f t="shared" si="258"/>
        <v>117.27558070571763</v>
      </c>
      <c r="N195" s="20">
        <f t="shared" si="258"/>
        <v>0</v>
      </c>
      <c r="O195" s="20">
        <f t="shared" si="258"/>
        <v>0</v>
      </c>
      <c r="P195" s="20">
        <f t="shared" si="258"/>
        <v>0</v>
      </c>
      <c r="Q195" s="20">
        <f t="shared" si="258"/>
        <v>0</v>
      </c>
      <c r="R195" s="20">
        <f t="shared" si="258"/>
        <v>0</v>
      </c>
      <c r="S195" s="20">
        <f t="shared" si="258"/>
        <v>0</v>
      </c>
      <c r="T195" s="20">
        <f t="shared" si="258"/>
        <v>0</v>
      </c>
      <c r="U195" s="20">
        <f t="shared" si="258"/>
        <v>0</v>
      </c>
      <c r="V195" s="20">
        <f t="shared" si="258"/>
        <v>0</v>
      </c>
      <c r="W195" s="20">
        <f t="shared" si="258"/>
        <v>0</v>
      </c>
      <c r="X195" s="20">
        <f t="shared" si="258"/>
        <v>0</v>
      </c>
      <c r="Y195" s="20">
        <f t="shared" si="258"/>
        <v>0</v>
      </c>
      <c r="Z195" s="20">
        <f t="shared" si="258"/>
        <v>0</v>
      </c>
      <c r="AA195" s="20">
        <f t="shared" si="258"/>
        <v>0</v>
      </c>
      <c r="AB195" s="20">
        <f t="shared" ref="AB195" si="259">AB189</f>
        <v>0</v>
      </c>
      <c r="AC195" s="145"/>
    </row>
    <row r="196" spans="2:29" x14ac:dyDescent="0.25">
      <c r="B196" s="2" t="s">
        <v>165</v>
      </c>
      <c r="C196" s="20"/>
      <c r="D196" s="20">
        <f t="shared" ref="D196:AA196" si="260">-D189</f>
        <v>-4022.607686842719</v>
      </c>
      <c r="E196" s="20">
        <f t="shared" si="260"/>
        <v>-6442.6203065512818</v>
      </c>
      <c r="F196" s="20">
        <f t="shared" si="260"/>
        <v>-3919.9503813822885</v>
      </c>
      <c r="G196" s="20">
        <f t="shared" si="260"/>
        <v>-2402.0810176127634</v>
      </c>
      <c r="H196" s="20">
        <f t="shared" si="260"/>
        <v>-2390.3456437753994</v>
      </c>
      <c r="I196" s="20">
        <f t="shared" si="260"/>
        <v>-1250.9910743705404</v>
      </c>
      <c r="J196" s="20">
        <f t="shared" si="260"/>
        <v>-117.27558070571763</v>
      </c>
      <c r="K196" s="20">
        <f t="shared" si="260"/>
        <v>-117.27558070571763</v>
      </c>
      <c r="L196" s="20">
        <f t="shared" si="260"/>
        <v>-117.42798815815081</v>
      </c>
      <c r="M196" s="20">
        <f t="shared" si="260"/>
        <v>-117.27558070571763</v>
      </c>
      <c r="N196" s="20">
        <f t="shared" si="260"/>
        <v>0</v>
      </c>
      <c r="O196" s="20">
        <f t="shared" si="260"/>
        <v>0</v>
      </c>
      <c r="P196" s="20">
        <f t="shared" si="260"/>
        <v>0</v>
      </c>
      <c r="Q196" s="20">
        <f t="shared" si="260"/>
        <v>0</v>
      </c>
      <c r="R196" s="20">
        <f t="shared" si="260"/>
        <v>0</v>
      </c>
      <c r="S196" s="20">
        <f t="shared" si="260"/>
        <v>0</v>
      </c>
      <c r="T196" s="20">
        <f t="shared" si="260"/>
        <v>0</v>
      </c>
      <c r="U196" s="20">
        <f t="shared" si="260"/>
        <v>0</v>
      </c>
      <c r="V196" s="20">
        <f t="shared" si="260"/>
        <v>0</v>
      </c>
      <c r="W196" s="20">
        <f t="shared" si="260"/>
        <v>0</v>
      </c>
      <c r="X196" s="20">
        <f t="shared" si="260"/>
        <v>0</v>
      </c>
      <c r="Y196" s="20">
        <f t="shared" si="260"/>
        <v>0</v>
      </c>
      <c r="Z196" s="20">
        <f t="shared" si="260"/>
        <v>0</v>
      </c>
      <c r="AA196" s="20">
        <f t="shared" si="260"/>
        <v>0</v>
      </c>
      <c r="AB196" s="20">
        <f t="shared" ref="AB196" si="261">-AB189</f>
        <v>0</v>
      </c>
      <c r="AC196" s="20"/>
    </row>
    <row r="197" spans="2:29" x14ac:dyDescent="0.25">
      <c r="B197" s="2" t="s">
        <v>238</v>
      </c>
      <c r="C197" s="20"/>
      <c r="D197" s="20">
        <f t="shared" ref="D197:AA197" si="262">D195+D196</f>
        <v>0</v>
      </c>
      <c r="E197" s="20">
        <f t="shared" si="262"/>
        <v>0</v>
      </c>
      <c r="F197" s="20">
        <f t="shared" si="262"/>
        <v>0</v>
      </c>
      <c r="G197" s="20">
        <f t="shared" si="262"/>
        <v>0</v>
      </c>
      <c r="H197" s="20">
        <f t="shared" si="262"/>
        <v>0</v>
      </c>
      <c r="I197" s="20">
        <f t="shared" si="262"/>
        <v>0</v>
      </c>
      <c r="J197" s="20">
        <f t="shared" si="262"/>
        <v>0</v>
      </c>
      <c r="K197" s="20">
        <f t="shared" si="262"/>
        <v>0</v>
      </c>
      <c r="L197" s="20">
        <f t="shared" si="262"/>
        <v>0</v>
      </c>
      <c r="M197" s="20">
        <f t="shared" si="262"/>
        <v>0</v>
      </c>
      <c r="N197" s="20">
        <f t="shared" si="262"/>
        <v>0</v>
      </c>
      <c r="O197" s="20">
        <f t="shared" si="262"/>
        <v>0</v>
      </c>
      <c r="P197" s="20">
        <f t="shared" si="262"/>
        <v>0</v>
      </c>
      <c r="Q197" s="20">
        <f t="shared" si="262"/>
        <v>0</v>
      </c>
      <c r="R197" s="20">
        <f t="shared" si="262"/>
        <v>0</v>
      </c>
      <c r="S197" s="20">
        <f t="shared" si="262"/>
        <v>0</v>
      </c>
      <c r="T197" s="20">
        <f t="shared" si="262"/>
        <v>0</v>
      </c>
      <c r="U197" s="20">
        <f t="shared" si="262"/>
        <v>0</v>
      </c>
      <c r="V197" s="20">
        <f t="shared" si="262"/>
        <v>0</v>
      </c>
      <c r="W197" s="20">
        <f t="shared" si="262"/>
        <v>0</v>
      </c>
      <c r="X197" s="20">
        <f t="shared" si="262"/>
        <v>0</v>
      </c>
      <c r="Y197" s="20">
        <f t="shared" si="262"/>
        <v>0</v>
      </c>
      <c r="Z197" s="20">
        <f t="shared" si="262"/>
        <v>0</v>
      </c>
      <c r="AA197" s="20">
        <f t="shared" si="262"/>
        <v>0</v>
      </c>
      <c r="AB197" s="20">
        <f t="shared" ref="AB197" si="263">AB195+AB196</f>
        <v>0</v>
      </c>
      <c r="AC197" s="20"/>
    </row>
    <row r="199" spans="2:29" x14ac:dyDescent="0.25">
      <c r="B199" s="2" t="s">
        <v>163</v>
      </c>
      <c r="C199" s="20"/>
      <c r="D199" s="20">
        <f>Depreciation!E26-D189</f>
        <v>677.31145730768912</v>
      </c>
      <c r="E199" s="20">
        <f>Depreciation!F26-E189</f>
        <v>1084.7840228076966</v>
      </c>
      <c r="F199" s="20">
        <f>Depreciation!G26-F189</f>
        <v>660.0264087576943</v>
      </c>
      <c r="G199" s="20">
        <f>Depreciation!H26-G189</f>
        <v>404.45331020768936</v>
      </c>
      <c r="H199" s="20">
        <f>Depreciation!I26-H189</f>
        <v>402.47735237768939</v>
      </c>
      <c r="I199" s="20">
        <f>Depreciation!J26-I189</f>
        <v>210.63714227769378</v>
      </c>
      <c r="J199" s="20">
        <f>Depreciation!K26-J189</f>
        <v>19.746418407692317</v>
      </c>
      <c r="K199" s="20">
        <f>Depreciation!L26-K189</f>
        <v>19.746418407692317</v>
      </c>
      <c r="L199" s="20">
        <f>Depreciation!M26-L189</f>
        <v>19.772080197692276</v>
      </c>
      <c r="M199" s="20">
        <f>Depreciation!N26-M189</f>
        <v>19.746418407692317</v>
      </c>
      <c r="N199" s="20">
        <f>Depreciation!O26-N189</f>
        <v>137.20006835584309</v>
      </c>
      <c r="O199" s="20">
        <f>Depreciation!P26-O189</f>
        <v>137.02199911340995</v>
      </c>
      <c r="P199" s="20">
        <f>Depreciation!Q26-P189</f>
        <v>137.20006835584309</v>
      </c>
      <c r="Q199" s="20">
        <f>Depreciation!R26-Q189</f>
        <v>137.02199911340995</v>
      </c>
      <c r="R199" s="20">
        <f>Depreciation!S26-R189</f>
        <v>137.20006835584309</v>
      </c>
      <c r="S199" s="20">
        <f>Depreciation!T26-S189</f>
        <v>84.491572595590014</v>
      </c>
      <c r="T199" s="20">
        <f>Depreciation!U26-T189</f>
        <v>31.96114607776974</v>
      </c>
      <c r="U199" s="20">
        <f>Depreciation!V26-U189</f>
        <v>31.96114607776974</v>
      </c>
      <c r="V199" s="20">
        <f>Depreciation!W26-V189</f>
        <v>31.96114607776974</v>
      </c>
      <c r="W199" s="20">
        <f>Depreciation!X26-W189</f>
        <v>31.96114607776974</v>
      </c>
      <c r="X199" s="20">
        <f>Depreciation!Y26-X189</f>
        <v>6.522682873014233</v>
      </c>
      <c r="Y199" s="20">
        <f>Depreciation!Z26-Y189</f>
        <v>6.522682873014233</v>
      </c>
      <c r="Z199" s="20">
        <f>Depreciation!AA26-Z189</f>
        <v>6.522682873014233</v>
      </c>
      <c r="AA199" s="20">
        <f>Depreciation!AB26-AA189</f>
        <v>6.522682873014233</v>
      </c>
      <c r="AB199" s="20">
        <f>Depreciation!AC26-AB189</f>
        <v>6.522682873014233</v>
      </c>
      <c r="AC199" s="145"/>
    </row>
    <row r="200" spans="2:29" x14ac:dyDescent="0.25">
      <c r="B200" s="2" t="s">
        <v>240</v>
      </c>
      <c r="C200" s="20"/>
      <c r="D200" s="20">
        <f t="shared" ref="D200:AA200" si="264">D189</f>
        <v>4022.607686842719</v>
      </c>
      <c r="E200" s="20">
        <f t="shared" si="264"/>
        <v>6442.6203065512818</v>
      </c>
      <c r="F200" s="20">
        <f t="shared" si="264"/>
        <v>3919.9503813822885</v>
      </c>
      <c r="G200" s="20">
        <f t="shared" si="264"/>
        <v>2402.0810176127634</v>
      </c>
      <c r="H200" s="20">
        <f t="shared" si="264"/>
        <v>2390.3456437753994</v>
      </c>
      <c r="I200" s="20">
        <f t="shared" si="264"/>
        <v>1250.9910743705404</v>
      </c>
      <c r="J200" s="20">
        <f t="shared" si="264"/>
        <v>117.27558070571763</v>
      </c>
      <c r="K200" s="20">
        <f t="shared" si="264"/>
        <v>117.27558070571763</v>
      </c>
      <c r="L200" s="20">
        <f t="shared" si="264"/>
        <v>117.42798815815081</v>
      </c>
      <c r="M200" s="20">
        <f t="shared" si="264"/>
        <v>117.27558070571763</v>
      </c>
      <c r="N200" s="20">
        <f t="shared" si="264"/>
        <v>0</v>
      </c>
      <c r="O200" s="20">
        <f t="shared" si="264"/>
        <v>0</v>
      </c>
      <c r="P200" s="20">
        <f t="shared" si="264"/>
        <v>0</v>
      </c>
      <c r="Q200" s="20">
        <f t="shared" si="264"/>
        <v>0</v>
      </c>
      <c r="R200" s="20">
        <f t="shared" si="264"/>
        <v>0</v>
      </c>
      <c r="S200" s="20">
        <f t="shared" si="264"/>
        <v>0</v>
      </c>
      <c r="T200" s="20">
        <f t="shared" si="264"/>
        <v>0</v>
      </c>
      <c r="U200" s="20">
        <f t="shared" si="264"/>
        <v>0</v>
      </c>
      <c r="V200" s="20">
        <f t="shared" si="264"/>
        <v>0</v>
      </c>
      <c r="W200" s="20">
        <f t="shared" si="264"/>
        <v>0</v>
      </c>
      <c r="X200" s="20">
        <f t="shared" si="264"/>
        <v>0</v>
      </c>
      <c r="Y200" s="20">
        <f t="shared" si="264"/>
        <v>0</v>
      </c>
      <c r="Z200" s="20">
        <f t="shared" si="264"/>
        <v>0</v>
      </c>
      <c r="AA200" s="20">
        <f t="shared" si="264"/>
        <v>0</v>
      </c>
      <c r="AB200" s="20">
        <f t="shared" ref="AB200" si="265">AB189</f>
        <v>0</v>
      </c>
      <c r="AC200" s="145"/>
    </row>
    <row r="201" spans="2:29" x14ac:dyDescent="0.25">
      <c r="B201" s="76" t="s">
        <v>239</v>
      </c>
      <c r="C201" s="146"/>
      <c r="D201" s="146">
        <f t="shared" ref="D201:AA201" si="266">SUM(D199:D200)</f>
        <v>4699.9191441504081</v>
      </c>
      <c r="E201" s="146">
        <f t="shared" si="266"/>
        <v>7527.4043293589784</v>
      </c>
      <c r="F201" s="146">
        <f t="shared" si="266"/>
        <v>4579.9767901399828</v>
      </c>
      <c r="G201" s="146">
        <f t="shared" si="266"/>
        <v>2806.5343278204527</v>
      </c>
      <c r="H201" s="146">
        <f t="shared" si="266"/>
        <v>2792.8229961530888</v>
      </c>
      <c r="I201" s="146">
        <f t="shared" si="266"/>
        <v>1461.6282166482342</v>
      </c>
      <c r="J201" s="146">
        <f t="shared" si="266"/>
        <v>137.02199911340995</v>
      </c>
      <c r="K201" s="146">
        <f t="shared" si="266"/>
        <v>137.02199911340995</v>
      </c>
      <c r="L201" s="146">
        <f t="shared" si="266"/>
        <v>137.20006835584309</v>
      </c>
      <c r="M201" s="146">
        <f t="shared" si="266"/>
        <v>137.02199911340995</v>
      </c>
      <c r="N201" s="146">
        <f t="shared" si="266"/>
        <v>137.20006835584309</v>
      </c>
      <c r="O201" s="146">
        <f t="shared" si="266"/>
        <v>137.02199911340995</v>
      </c>
      <c r="P201" s="146">
        <f t="shared" si="266"/>
        <v>137.20006835584309</v>
      </c>
      <c r="Q201" s="146">
        <f t="shared" si="266"/>
        <v>137.02199911340995</v>
      </c>
      <c r="R201" s="146">
        <f t="shared" si="266"/>
        <v>137.20006835584309</v>
      </c>
      <c r="S201" s="146">
        <f t="shared" si="266"/>
        <v>84.491572595590014</v>
      </c>
      <c r="T201" s="146">
        <f t="shared" si="266"/>
        <v>31.96114607776974</v>
      </c>
      <c r="U201" s="146">
        <f t="shared" si="266"/>
        <v>31.96114607776974</v>
      </c>
      <c r="V201" s="146">
        <f t="shared" si="266"/>
        <v>31.96114607776974</v>
      </c>
      <c r="W201" s="146">
        <f t="shared" si="266"/>
        <v>31.96114607776974</v>
      </c>
      <c r="X201" s="146">
        <f t="shared" si="266"/>
        <v>6.522682873014233</v>
      </c>
      <c r="Y201" s="146">
        <f t="shared" si="266"/>
        <v>6.522682873014233</v>
      </c>
      <c r="Z201" s="146">
        <f t="shared" si="266"/>
        <v>6.522682873014233</v>
      </c>
      <c r="AA201" s="146">
        <f t="shared" si="266"/>
        <v>6.522682873014233</v>
      </c>
      <c r="AB201" s="146">
        <f t="shared" ref="AB201" si="267">SUM(AB199:AB200)</f>
        <v>6.522682873014233</v>
      </c>
      <c r="AC201" s="145"/>
    </row>
    <row r="202" spans="2:29" x14ac:dyDescent="0.25">
      <c r="B202" s="7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  <c r="R202" s="146"/>
      <c r="S202" s="146"/>
      <c r="T202" s="146"/>
      <c r="U202" s="146"/>
      <c r="V202" s="146"/>
      <c r="W202" s="146"/>
      <c r="X202" s="146"/>
      <c r="Y202" s="146"/>
      <c r="Z202" s="146"/>
      <c r="AA202" s="146"/>
      <c r="AB202" s="146"/>
      <c r="AC202" s="145"/>
    </row>
    <row r="203" spans="2:29" x14ac:dyDescent="0.25">
      <c r="B203" s="15" t="s">
        <v>92</v>
      </c>
    </row>
    <row r="204" spans="2:29" x14ac:dyDescent="0.25">
      <c r="B204" s="36" t="s">
        <v>231</v>
      </c>
      <c r="C204" s="20"/>
      <c r="D204" s="20">
        <f t="shared" ref="D204:AA204" si="268">D154</f>
        <v>-44245.617367771942</v>
      </c>
      <c r="E204" s="20">
        <f t="shared" si="268"/>
        <v>-84015.195929629699</v>
      </c>
      <c r="F204" s="20">
        <f t="shared" si="268"/>
        <v>-41379.731580471402</v>
      </c>
      <c r="G204" s="20">
        <f t="shared" si="268"/>
        <v>-15478.922751857901</v>
      </c>
      <c r="H204" s="20">
        <f t="shared" si="268"/>
        <v>-14669.254052720305</v>
      </c>
      <c r="I204" s="20">
        <f t="shared" si="268"/>
        <v>4952.3268429964692</v>
      </c>
      <c r="J204" s="20">
        <f t="shared" si="268"/>
        <v>24495.643604338657</v>
      </c>
      <c r="K204" s="20">
        <f t="shared" si="268"/>
        <v>25156.90708000616</v>
      </c>
      <c r="L204" s="20">
        <f t="shared" si="268"/>
        <v>25832.161625355355</v>
      </c>
      <c r="M204" s="20">
        <f t="shared" si="268"/>
        <v>26529.442081688521</v>
      </c>
      <c r="N204" s="20">
        <f t="shared" si="268"/>
        <v>1361.9505001039859</v>
      </c>
      <c r="O204" s="20">
        <f t="shared" si="268"/>
        <v>1398.5730833915497</v>
      </c>
      <c r="P204" s="20">
        <f t="shared" si="268"/>
        <v>1435.8540038937908</v>
      </c>
      <c r="Q204" s="20">
        <f t="shared" si="268"/>
        <v>1474.3241747761017</v>
      </c>
      <c r="R204" s="20">
        <f t="shared" si="268"/>
        <v>1513.4988725629551</v>
      </c>
      <c r="S204" s="20">
        <f t="shared" si="268"/>
        <v>1591.3827940094961</v>
      </c>
      <c r="T204" s="20">
        <f t="shared" si="268"/>
        <v>1670.1467962639927</v>
      </c>
      <c r="U204" s="20">
        <f t="shared" si="268"/>
        <v>1712.4704540061703</v>
      </c>
      <c r="V204" s="20">
        <f t="shared" si="268"/>
        <v>1755.8522031919047</v>
      </c>
      <c r="W204" s="20">
        <f t="shared" si="268"/>
        <v>1800.3184961072716</v>
      </c>
      <c r="X204" s="20">
        <f t="shared" si="268"/>
        <v>1864.0429978455309</v>
      </c>
      <c r="Y204" s="20">
        <f t="shared" si="268"/>
        <v>1910.7603968397505</v>
      </c>
      <c r="Z204" s="20">
        <f t="shared" si="268"/>
        <v>1958.6457308088168</v>
      </c>
      <c r="AA204" s="20">
        <f t="shared" si="268"/>
        <v>2007.7281981271176</v>
      </c>
      <c r="AB204" s="20">
        <f>AB53</f>
        <v>2078.825986998359</v>
      </c>
      <c r="AC204" s="20"/>
    </row>
    <row r="205" spans="2:29" x14ac:dyDescent="0.25">
      <c r="B205" s="36" t="s">
        <v>233</v>
      </c>
      <c r="C205" s="20"/>
      <c r="D205" s="20">
        <f t="shared" ref="D205:AA205" si="269">D156</f>
        <v>0</v>
      </c>
      <c r="E205" s="20">
        <f t="shared" si="269"/>
        <v>0</v>
      </c>
      <c r="F205" s="20">
        <f t="shared" si="269"/>
        <v>12243.383411415412</v>
      </c>
      <c r="G205" s="20">
        <f t="shared" si="269"/>
        <v>15478.922751857901</v>
      </c>
      <c r="H205" s="20">
        <f t="shared" si="269"/>
        <v>14669.254052720305</v>
      </c>
      <c r="I205" s="20">
        <f t="shared" si="269"/>
        <v>0</v>
      </c>
      <c r="J205" s="20">
        <f t="shared" si="269"/>
        <v>0</v>
      </c>
      <c r="K205" s="20">
        <f t="shared" si="269"/>
        <v>0</v>
      </c>
      <c r="L205" s="20">
        <f t="shared" si="269"/>
        <v>0</v>
      </c>
      <c r="M205" s="20">
        <f t="shared" si="269"/>
        <v>0</v>
      </c>
      <c r="N205" s="20">
        <f t="shared" si="269"/>
        <v>0</v>
      </c>
      <c r="O205" s="20">
        <f t="shared" si="269"/>
        <v>0</v>
      </c>
      <c r="P205" s="20">
        <f t="shared" si="269"/>
        <v>0</v>
      </c>
      <c r="Q205" s="20">
        <f t="shared" si="269"/>
        <v>0</v>
      </c>
      <c r="R205" s="20">
        <f t="shared" si="269"/>
        <v>0</v>
      </c>
      <c r="S205" s="20">
        <f t="shared" si="269"/>
        <v>0</v>
      </c>
      <c r="T205" s="20">
        <f t="shared" si="269"/>
        <v>0</v>
      </c>
      <c r="U205" s="20">
        <f t="shared" si="269"/>
        <v>0</v>
      </c>
      <c r="V205" s="20">
        <f t="shared" si="269"/>
        <v>0</v>
      </c>
      <c r="W205" s="20">
        <f t="shared" si="269"/>
        <v>0</v>
      </c>
      <c r="X205" s="20">
        <f t="shared" si="269"/>
        <v>0</v>
      </c>
      <c r="Y205" s="20">
        <f t="shared" si="269"/>
        <v>0</v>
      </c>
      <c r="Z205" s="20">
        <f t="shared" si="269"/>
        <v>0</v>
      </c>
      <c r="AA205" s="20">
        <f t="shared" si="269"/>
        <v>0</v>
      </c>
      <c r="AB205" s="20">
        <f t="shared" ref="AB205" si="270">AB156</f>
        <v>0</v>
      </c>
      <c r="AC205" s="20"/>
    </row>
    <row r="206" spans="2:29" x14ac:dyDescent="0.25">
      <c r="B206" s="36" t="s">
        <v>234</v>
      </c>
      <c r="C206" s="20"/>
      <c r="D206" s="20">
        <f t="shared" ref="D206:AA206" si="271">D157</f>
        <v>0</v>
      </c>
      <c r="E206" s="20">
        <f t="shared" si="271"/>
        <v>0</v>
      </c>
      <c r="F206" s="20">
        <f t="shared" si="271"/>
        <v>0</v>
      </c>
      <c r="G206" s="20">
        <f t="shared" si="271"/>
        <v>0</v>
      </c>
      <c r="H206" s="20">
        <f t="shared" si="271"/>
        <v>0</v>
      </c>
      <c r="I206" s="20">
        <f t="shared" si="271"/>
        <v>0</v>
      </c>
      <c r="J206" s="20">
        <f t="shared" si="271"/>
        <v>-19152.100366621446</v>
      </c>
      <c r="K206" s="20">
        <f t="shared" si="271"/>
        <v>-19679.775261346018</v>
      </c>
      <c r="L206" s="20">
        <f t="shared" si="271"/>
        <v>-3559.6845880261608</v>
      </c>
      <c r="M206" s="20">
        <f t="shared" si="271"/>
        <v>0</v>
      </c>
      <c r="N206" s="20">
        <f t="shared" si="271"/>
        <v>0</v>
      </c>
      <c r="O206" s="20">
        <f t="shared" si="271"/>
        <v>0</v>
      </c>
      <c r="P206" s="20">
        <f t="shared" si="271"/>
        <v>0</v>
      </c>
      <c r="Q206" s="20">
        <f t="shared" si="271"/>
        <v>0</v>
      </c>
      <c r="R206" s="20">
        <f t="shared" si="271"/>
        <v>0</v>
      </c>
      <c r="S206" s="20">
        <f t="shared" si="271"/>
        <v>0</v>
      </c>
      <c r="T206" s="20">
        <f t="shared" si="271"/>
        <v>0</v>
      </c>
      <c r="U206" s="20">
        <f t="shared" si="271"/>
        <v>0</v>
      </c>
      <c r="V206" s="20">
        <f t="shared" si="271"/>
        <v>0</v>
      </c>
      <c r="W206" s="20">
        <f t="shared" si="271"/>
        <v>0</v>
      </c>
      <c r="X206" s="20">
        <f t="shared" si="271"/>
        <v>0</v>
      </c>
      <c r="Y206" s="20">
        <f t="shared" si="271"/>
        <v>0</v>
      </c>
      <c r="Z206" s="20">
        <f t="shared" si="271"/>
        <v>0</v>
      </c>
      <c r="AA206" s="20">
        <f t="shared" si="271"/>
        <v>0</v>
      </c>
      <c r="AB206" s="20">
        <f t="shared" ref="AB206" si="272">AB157</f>
        <v>0</v>
      </c>
      <c r="AC206" s="20"/>
    </row>
    <row r="207" spans="2:29" x14ac:dyDescent="0.25">
      <c r="B207" s="36" t="s">
        <v>232</v>
      </c>
      <c r="C207" s="20"/>
      <c r="D207" s="20">
        <f t="shared" ref="D207:AB207" si="273">D197</f>
        <v>0</v>
      </c>
      <c r="E207" s="20">
        <f t="shared" si="273"/>
        <v>0</v>
      </c>
      <c r="F207" s="20">
        <f t="shared" si="273"/>
        <v>0</v>
      </c>
      <c r="G207" s="20">
        <f t="shared" si="273"/>
        <v>0</v>
      </c>
      <c r="H207" s="20">
        <f t="shared" si="273"/>
        <v>0</v>
      </c>
      <c r="I207" s="20">
        <f t="shared" si="273"/>
        <v>0</v>
      </c>
      <c r="J207" s="20">
        <f t="shared" si="273"/>
        <v>0</v>
      </c>
      <c r="K207" s="20">
        <f t="shared" si="273"/>
        <v>0</v>
      </c>
      <c r="L207" s="20">
        <f t="shared" si="273"/>
        <v>0</v>
      </c>
      <c r="M207" s="20">
        <f t="shared" si="273"/>
        <v>0</v>
      </c>
      <c r="N207" s="20">
        <f t="shared" si="273"/>
        <v>0</v>
      </c>
      <c r="O207" s="20">
        <f t="shared" si="273"/>
        <v>0</v>
      </c>
      <c r="P207" s="20">
        <f t="shared" si="273"/>
        <v>0</v>
      </c>
      <c r="Q207" s="20">
        <f t="shared" si="273"/>
        <v>0</v>
      </c>
      <c r="R207" s="20">
        <f t="shared" si="273"/>
        <v>0</v>
      </c>
      <c r="S207" s="20">
        <f t="shared" si="273"/>
        <v>0</v>
      </c>
      <c r="T207" s="20">
        <f t="shared" si="273"/>
        <v>0</v>
      </c>
      <c r="U207" s="20">
        <f t="shared" si="273"/>
        <v>0</v>
      </c>
      <c r="V207" s="20">
        <f t="shared" si="273"/>
        <v>0</v>
      </c>
      <c r="W207" s="20">
        <f t="shared" si="273"/>
        <v>0</v>
      </c>
      <c r="X207" s="20">
        <f t="shared" si="273"/>
        <v>0</v>
      </c>
      <c r="Y207" s="20">
        <f t="shared" si="273"/>
        <v>0</v>
      </c>
      <c r="Z207" s="20">
        <f t="shared" si="273"/>
        <v>0</v>
      </c>
      <c r="AA207" s="20">
        <f t="shared" si="273"/>
        <v>0</v>
      </c>
      <c r="AB207" s="20">
        <f t="shared" si="273"/>
        <v>0</v>
      </c>
      <c r="AC207" s="27"/>
    </row>
    <row r="208" spans="2:29" x14ac:dyDescent="0.25">
      <c r="B208" s="147" t="s">
        <v>235</v>
      </c>
      <c r="C208" s="31"/>
      <c r="D208" s="31">
        <f t="shared" ref="D208:AB208" si="274">SUM(D204:D207)</f>
        <v>-44245.617367771942</v>
      </c>
      <c r="E208" s="31">
        <f t="shared" si="274"/>
        <v>-84015.195929629699</v>
      </c>
      <c r="F208" s="31">
        <f t="shared" si="274"/>
        <v>-29136.348169055989</v>
      </c>
      <c r="G208" s="31">
        <f t="shared" si="274"/>
        <v>0</v>
      </c>
      <c r="H208" s="31">
        <f t="shared" si="274"/>
        <v>0</v>
      </c>
      <c r="I208" s="31">
        <f t="shared" si="274"/>
        <v>4952.3268429964692</v>
      </c>
      <c r="J208" s="31">
        <f t="shared" si="274"/>
        <v>5343.543237717211</v>
      </c>
      <c r="K208" s="31">
        <f t="shared" si="274"/>
        <v>5477.131818660142</v>
      </c>
      <c r="L208" s="31">
        <f t="shared" si="274"/>
        <v>22272.477037329194</v>
      </c>
      <c r="M208" s="31">
        <f t="shared" si="274"/>
        <v>26529.442081688521</v>
      </c>
      <c r="N208" s="31">
        <f t="shared" si="274"/>
        <v>1361.9505001039859</v>
      </c>
      <c r="O208" s="31">
        <f t="shared" si="274"/>
        <v>1398.5730833915497</v>
      </c>
      <c r="P208" s="31">
        <f t="shared" si="274"/>
        <v>1435.8540038937908</v>
      </c>
      <c r="Q208" s="31">
        <f t="shared" si="274"/>
        <v>1474.3241747761017</v>
      </c>
      <c r="R208" s="31">
        <f t="shared" si="274"/>
        <v>1513.4988725629551</v>
      </c>
      <c r="S208" s="31">
        <f t="shared" si="274"/>
        <v>1591.3827940094961</v>
      </c>
      <c r="T208" s="31">
        <f t="shared" si="274"/>
        <v>1670.1467962639927</v>
      </c>
      <c r="U208" s="31">
        <f t="shared" si="274"/>
        <v>1712.4704540061703</v>
      </c>
      <c r="V208" s="31">
        <f t="shared" si="274"/>
        <v>1755.8522031919047</v>
      </c>
      <c r="W208" s="31">
        <f t="shared" si="274"/>
        <v>1800.3184961072716</v>
      </c>
      <c r="X208" s="31">
        <f t="shared" si="274"/>
        <v>1864.0429978455309</v>
      </c>
      <c r="Y208" s="31">
        <f t="shared" si="274"/>
        <v>1910.7603968397505</v>
      </c>
      <c r="Z208" s="31">
        <f t="shared" si="274"/>
        <v>1958.6457308088168</v>
      </c>
      <c r="AA208" s="31">
        <f t="shared" si="274"/>
        <v>2007.7281981271176</v>
      </c>
      <c r="AB208" s="31">
        <f t="shared" si="274"/>
        <v>2078.825986998359</v>
      </c>
      <c r="AC208" s="27"/>
    </row>
    <row r="209" spans="2:29" x14ac:dyDescent="0.25">
      <c r="AC209" s="10"/>
    </row>
    <row r="210" spans="2:29" x14ac:dyDescent="0.25">
      <c r="B210" s="15" t="s">
        <v>236</v>
      </c>
    </row>
    <row r="211" spans="2:29" x14ac:dyDescent="0.25">
      <c r="B211" s="36" t="s">
        <v>231</v>
      </c>
      <c r="C211" s="20"/>
      <c r="D211" s="20">
        <f t="shared" ref="D211:AB211" si="275">D54</f>
        <v>-446.92542795729275</v>
      </c>
      <c r="E211" s="20">
        <f t="shared" si="275"/>
        <v>-848.63834272353301</v>
      </c>
      <c r="F211" s="20">
        <f t="shared" si="275"/>
        <v>-417.97708667142871</v>
      </c>
      <c r="G211" s="20">
        <f t="shared" si="275"/>
        <v>-156.35275506927186</v>
      </c>
      <c r="H211" s="20">
        <f t="shared" si="275"/>
        <v>-148.1742833608113</v>
      </c>
      <c r="I211" s="20">
        <f t="shared" si="275"/>
        <v>50.023503464610847</v>
      </c>
      <c r="J211" s="20">
        <f t="shared" si="275"/>
        <v>247.43074347816847</v>
      </c>
      <c r="K211" s="20">
        <f t="shared" si="275"/>
        <v>254.11017252531497</v>
      </c>
      <c r="L211" s="20">
        <f t="shared" si="275"/>
        <v>260.9309255086402</v>
      </c>
      <c r="M211" s="20">
        <f t="shared" si="275"/>
        <v>267.97416244129846</v>
      </c>
      <c r="N211" s="20">
        <f t="shared" si="275"/>
        <v>26138.44394138968</v>
      </c>
      <c r="O211" s="20">
        <f t="shared" si="275"/>
        <v>26841.301600443934</v>
      </c>
      <c r="P211" s="20">
        <f t="shared" si="275"/>
        <v>27556.794014123294</v>
      </c>
      <c r="Q211" s="20">
        <f t="shared" si="275"/>
        <v>28295.110424995895</v>
      </c>
      <c r="R211" s="20">
        <f t="shared" si="275"/>
        <v>29046.948059289065</v>
      </c>
      <c r="S211" s="20">
        <f t="shared" si="275"/>
        <v>30541.689986040808</v>
      </c>
      <c r="T211" s="20">
        <f t="shared" si="275"/>
        <v>32053.322352541345</v>
      </c>
      <c r="U211" s="20">
        <f t="shared" si="275"/>
        <v>32865.594571835645</v>
      </c>
      <c r="V211" s="20">
        <f t="shared" si="275"/>
        <v>33698.173596612309</v>
      </c>
      <c r="W211" s="20">
        <f t="shared" si="275"/>
        <v>34551.567097008367</v>
      </c>
      <c r="X211" s="20">
        <f t="shared" si="275"/>
        <v>35774.562584914347</v>
      </c>
      <c r="Y211" s="20">
        <f t="shared" si="275"/>
        <v>36671.159131267981</v>
      </c>
      <c r="Z211" s="20">
        <f t="shared" si="275"/>
        <v>37590.170591280439</v>
      </c>
      <c r="AA211" s="20">
        <f t="shared" si="275"/>
        <v>38532.157337793215</v>
      </c>
      <c r="AB211" s="20">
        <f t="shared" si="275"/>
        <v>39497.693752968815</v>
      </c>
      <c r="AC211" s="20"/>
    </row>
    <row r="212" spans="2:29" x14ac:dyDescent="0.25">
      <c r="B212" s="36" t="s">
        <v>233</v>
      </c>
      <c r="C212" s="20"/>
      <c r="D212" s="20">
        <f t="shared" ref="D212:AB212" si="276">D174</f>
        <v>0</v>
      </c>
      <c r="E212" s="20">
        <f t="shared" si="276"/>
        <v>0</v>
      </c>
      <c r="F212" s="20">
        <f t="shared" si="276"/>
        <v>0</v>
      </c>
      <c r="G212" s="20">
        <f t="shared" si="276"/>
        <v>0</v>
      </c>
      <c r="H212" s="20">
        <f t="shared" si="276"/>
        <v>0</v>
      </c>
      <c r="I212" s="20">
        <f t="shared" si="276"/>
        <v>0</v>
      </c>
      <c r="J212" s="20">
        <f t="shared" si="276"/>
        <v>0</v>
      </c>
      <c r="K212" s="20">
        <f t="shared" si="276"/>
        <v>0</v>
      </c>
      <c r="L212" s="20">
        <f t="shared" si="276"/>
        <v>0</v>
      </c>
      <c r="M212" s="20">
        <f t="shared" si="276"/>
        <v>1.5347723092418164E-12</v>
      </c>
      <c r="N212" s="20">
        <f t="shared" si="276"/>
        <v>0</v>
      </c>
      <c r="O212" s="20">
        <f t="shared" si="276"/>
        <v>0</v>
      </c>
      <c r="P212" s="20">
        <f t="shared" si="276"/>
        <v>0</v>
      </c>
      <c r="Q212" s="20">
        <f t="shared" si="276"/>
        <v>0</v>
      </c>
      <c r="R212" s="20">
        <f t="shared" si="276"/>
        <v>0</v>
      </c>
      <c r="S212" s="20">
        <f t="shared" si="276"/>
        <v>0</v>
      </c>
      <c r="T212" s="20">
        <f t="shared" si="276"/>
        <v>0</v>
      </c>
      <c r="U212" s="20">
        <f t="shared" si="276"/>
        <v>0</v>
      </c>
      <c r="V212" s="20">
        <f t="shared" si="276"/>
        <v>0</v>
      </c>
      <c r="W212" s="20">
        <f t="shared" si="276"/>
        <v>0</v>
      </c>
      <c r="X212" s="20">
        <f t="shared" si="276"/>
        <v>0</v>
      </c>
      <c r="Y212" s="20">
        <f t="shared" si="276"/>
        <v>0</v>
      </c>
      <c r="Z212" s="20">
        <f t="shared" si="276"/>
        <v>0</v>
      </c>
      <c r="AA212" s="20">
        <f t="shared" si="276"/>
        <v>0</v>
      </c>
      <c r="AB212" s="20">
        <f t="shared" si="276"/>
        <v>0</v>
      </c>
      <c r="AC212" s="20"/>
    </row>
    <row r="213" spans="2:29" x14ac:dyDescent="0.25">
      <c r="B213" s="36" t="s">
        <v>234</v>
      </c>
      <c r="C213" s="20"/>
      <c r="D213" s="20">
        <f t="shared" ref="D213:AB213" si="277">D175</f>
        <v>0</v>
      </c>
      <c r="E213" s="20">
        <f t="shared" si="277"/>
        <v>0</v>
      </c>
      <c r="F213" s="20">
        <f t="shared" si="277"/>
        <v>0</v>
      </c>
      <c r="G213" s="20">
        <f t="shared" si="277"/>
        <v>0</v>
      </c>
      <c r="H213" s="20">
        <f t="shared" si="277"/>
        <v>0</v>
      </c>
      <c r="I213" s="20">
        <f t="shared" si="277"/>
        <v>0</v>
      </c>
      <c r="J213" s="20">
        <f t="shared" si="277"/>
        <v>0</v>
      </c>
      <c r="K213" s="20">
        <f t="shared" si="277"/>
        <v>0</v>
      </c>
      <c r="L213" s="20">
        <f t="shared" si="277"/>
        <v>0</v>
      </c>
      <c r="M213" s="20">
        <f t="shared" si="277"/>
        <v>0</v>
      </c>
      <c r="N213" s="20">
        <f t="shared" si="277"/>
        <v>0</v>
      </c>
      <c r="O213" s="20">
        <f t="shared" si="277"/>
        <v>0</v>
      </c>
      <c r="P213" s="20">
        <f t="shared" si="277"/>
        <v>0</v>
      </c>
      <c r="Q213" s="20">
        <f t="shared" si="277"/>
        <v>0</v>
      </c>
      <c r="R213" s="20">
        <f t="shared" si="277"/>
        <v>0</v>
      </c>
      <c r="S213" s="20">
        <f t="shared" si="277"/>
        <v>0</v>
      </c>
      <c r="T213" s="20">
        <f t="shared" si="277"/>
        <v>0</v>
      </c>
      <c r="U213" s="20">
        <f t="shared" si="277"/>
        <v>0</v>
      </c>
      <c r="V213" s="20">
        <f t="shared" si="277"/>
        <v>0</v>
      </c>
      <c r="W213" s="20">
        <f t="shared" si="277"/>
        <v>0</v>
      </c>
      <c r="X213" s="20">
        <f t="shared" si="277"/>
        <v>0</v>
      </c>
      <c r="Y213" s="20">
        <f t="shared" si="277"/>
        <v>0</v>
      </c>
      <c r="Z213" s="20">
        <f t="shared" si="277"/>
        <v>0</v>
      </c>
      <c r="AA213" s="20">
        <f t="shared" si="277"/>
        <v>0</v>
      </c>
      <c r="AB213" s="20">
        <f t="shared" si="277"/>
        <v>-1.5347723092418164E-12</v>
      </c>
      <c r="AC213" s="20"/>
    </row>
    <row r="214" spans="2:29" x14ac:dyDescent="0.25">
      <c r="B214" s="36" t="s">
        <v>232</v>
      </c>
      <c r="C214" s="20"/>
      <c r="D214" s="20">
        <f t="shared" ref="D214:AB214" si="278">D201</f>
        <v>4699.9191441504081</v>
      </c>
      <c r="E214" s="20">
        <f t="shared" si="278"/>
        <v>7527.4043293589784</v>
      </c>
      <c r="F214" s="20">
        <f t="shared" si="278"/>
        <v>4579.9767901399828</v>
      </c>
      <c r="G214" s="20">
        <f t="shared" si="278"/>
        <v>2806.5343278204527</v>
      </c>
      <c r="H214" s="20">
        <f t="shared" si="278"/>
        <v>2792.8229961530888</v>
      </c>
      <c r="I214" s="20">
        <f t="shared" si="278"/>
        <v>1461.6282166482342</v>
      </c>
      <c r="J214" s="20">
        <f t="shared" si="278"/>
        <v>137.02199911340995</v>
      </c>
      <c r="K214" s="20">
        <f t="shared" si="278"/>
        <v>137.02199911340995</v>
      </c>
      <c r="L214" s="20">
        <f t="shared" si="278"/>
        <v>137.20006835584309</v>
      </c>
      <c r="M214" s="20">
        <f t="shared" si="278"/>
        <v>137.02199911340995</v>
      </c>
      <c r="N214" s="20">
        <f t="shared" si="278"/>
        <v>137.20006835584309</v>
      </c>
      <c r="O214" s="20">
        <f t="shared" si="278"/>
        <v>137.02199911340995</v>
      </c>
      <c r="P214" s="20">
        <f t="shared" si="278"/>
        <v>137.20006835584309</v>
      </c>
      <c r="Q214" s="20">
        <f t="shared" si="278"/>
        <v>137.02199911340995</v>
      </c>
      <c r="R214" s="20">
        <f t="shared" si="278"/>
        <v>137.20006835584309</v>
      </c>
      <c r="S214" s="20">
        <f t="shared" si="278"/>
        <v>84.491572595590014</v>
      </c>
      <c r="T214" s="20">
        <f t="shared" si="278"/>
        <v>31.96114607776974</v>
      </c>
      <c r="U214" s="20">
        <f t="shared" si="278"/>
        <v>31.96114607776974</v>
      </c>
      <c r="V214" s="20">
        <f t="shared" si="278"/>
        <v>31.96114607776974</v>
      </c>
      <c r="W214" s="20">
        <f t="shared" si="278"/>
        <v>31.96114607776974</v>
      </c>
      <c r="X214" s="20">
        <f t="shared" si="278"/>
        <v>6.522682873014233</v>
      </c>
      <c r="Y214" s="20">
        <f t="shared" si="278"/>
        <v>6.522682873014233</v>
      </c>
      <c r="Z214" s="20">
        <f t="shared" si="278"/>
        <v>6.522682873014233</v>
      </c>
      <c r="AA214" s="20">
        <f t="shared" si="278"/>
        <v>6.522682873014233</v>
      </c>
      <c r="AB214" s="20">
        <f t="shared" si="278"/>
        <v>6.522682873014233</v>
      </c>
      <c r="AC214" s="20"/>
    </row>
    <row r="215" spans="2:29" x14ac:dyDescent="0.25">
      <c r="B215" s="147" t="s">
        <v>237</v>
      </c>
      <c r="C215" s="31"/>
      <c r="D215" s="31">
        <f t="shared" ref="D215:AB215" si="279">SUM(D211:D214)</f>
        <v>4252.9937161931157</v>
      </c>
      <c r="E215" s="31">
        <f t="shared" si="279"/>
        <v>6678.7659866354452</v>
      </c>
      <c r="F215" s="31">
        <f t="shared" si="279"/>
        <v>4161.9997034685539</v>
      </c>
      <c r="G215" s="31">
        <f t="shared" si="279"/>
        <v>2650.1815727511807</v>
      </c>
      <c r="H215" s="31">
        <f t="shared" si="279"/>
        <v>2644.6487127922774</v>
      </c>
      <c r="I215" s="31">
        <f t="shared" si="279"/>
        <v>1511.6517201128452</v>
      </c>
      <c r="J215" s="31">
        <f t="shared" si="279"/>
        <v>384.45274259157839</v>
      </c>
      <c r="K215" s="31">
        <f t="shared" si="279"/>
        <v>391.13217163872491</v>
      </c>
      <c r="L215" s="31">
        <f t="shared" si="279"/>
        <v>398.13099386448329</v>
      </c>
      <c r="M215" s="31">
        <f t="shared" si="279"/>
        <v>404.99616155470994</v>
      </c>
      <c r="N215" s="31">
        <f t="shared" si="279"/>
        <v>26275.644009745523</v>
      </c>
      <c r="O215" s="31">
        <f t="shared" si="279"/>
        <v>26978.323599557345</v>
      </c>
      <c r="P215" s="31">
        <f t="shared" si="279"/>
        <v>27693.994082479137</v>
      </c>
      <c r="Q215" s="31">
        <f t="shared" si="279"/>
        <v>28432.132424109306</v>
      </c>
      <c r="R215" s="31">
        <f t="shared" si="279"/>
        <v>29184.148127644909</v>
      </c>
      <c r="S215" s="31">
        <f t="shared" si="279"/>
        <v>30626.181558636399</v>
      </c>
      <c r="T215" s="31">
        <f t="shared" si="279"/>
        <v>32085.283498619116</v>
      </c>
      <c r="U215" s="31">
        <f t="shared" si="279"/>
        <v>32897.555717913412</v>
      </c>
      <c r="V215" s="31">
        <f t="shared" si="279"/>
        <v>33730.134742690076</v>
      </c>
      <c r="W215" s="31">
        <f t="shared" si="279"/>
        <v>34583.528243086133</v>
      </c>
      <c r="X215" s="31">
        <f t="shared" si="279"/>
        <v>35781.085267787363</v>
      </c>
      <c r="Y215" s="31">
        <f t="shared" si="279"/>
        <v>36677.681814140997</v>
      </c>
      <c r="Z215" s="31">
        <f t="shared" si="279"/>
        <v>37596.693274153455</v>
      </c>
      <c r="AA215" s="31">
        <f t="shared" si="279"/>
        <v>38538.68002066623</v>
      </c>
      <c r="AB215" s="31">
        <f t="shared" si="279"/>
        <v>39504.21643584183</v>
      </c>
      <c r="AC215" s="20"/>
    </row>
    <row r="217" spans="2:29" x14ac:dyDescent="0.25">
      <c r="B217" s="15" t="s">
        <v>92</v>
      </c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7"/>
    </row>
    <row r="218" spans="2:29" x14ac:dyDescent="0.25">
      <c r="B218" s="36" t="s">
        <v>235</v>
      </c>
      <c r="D218" s="20">
        <f t="shared" ref="D218:AB218" si="280">D208</f>
        <v>-44245.617367771942</v>
      </c>
      <c r="E218" s="20">
        <f t="shared" si="280"/>
        <v>-84015.195929629699</v>
      </c>
      <c r="F218" s="20">
        <f t="shared" si="280"/>
        <v>-29136.348169055989</v>
      </c>
      <c r="G218" s="20">
        <f t="shared" si="280"/>
        <v>0</v>
      </c>
      <c r="H218" s="20">
        <f t="shared" si="280"/>
        <v>0</v>
      </c>
      <c r="I218" s="20">
        <f t="shared" si="280"/>
        <v>4952.3268429964692</v>
      </c>
      <c r="J218" s="20">
        <f t="shared" si="280"/>
        <v>5343.543237717211</v>
      </c>
      <c r="K218" s="20">
        <f t="shared" si="280"/>
        <v>5477.131818660142</v>
      </c>
      <c r="L218" s="20">
        <f t="shared" si="280"/>
        <v>22272.477037329194</v>
      </c>
      <c r="M218" s="20">
        <f t="shared" si="280"/>
        <v>26529.442081688521</v>
      </c>
      <c r="N218" s="20">
        <f t="shared" si="280"/>
        <v>1361.9505001039859</v>
      </c>
      <c r="O218" s="20">
        <f t="shared" si="280"/>
        <v>1398.5730833915497</v>
      </c>
      <c r="P218" s="20">
        <f t="shared" si="280"/>
        <v>1435.8540038937908</v>
      </c>
      <c r="Q218" s="20">
        <f t="shared" si="280"/>
        <v>1474.3241747761017</v>
      </c>
      <c r="R218" s="20">
        <f t="shared" si="280"/>
        <v>1513.4988725629551</v>
      </c>
      <c r="S218" s="20">
        <f t="shared" si="280"/>
        <v>1591.3827940094961</v>
      </c>
      <c r="T218" s="20">
        <f t="shared" si="280"/>
        <v>1670.1467962639927</v>
      </c>
      <c r="U218" s="20">
        <f t="shared" si="280"/>
        <v>1712.4704540061703</v>
      </c>
      <c r="V218" s="20">
        <f t="shared" si="280"/>
        <v>1755.8522031919047</v>
      </c>
      <c r="W218" s="20">
        <f t="shared" si="280"/>
        <v>1800.3184961072716</v>
      </c>
      <c r="X218" s="20">
        <f t="shared" si="280"/>
        <v>1864.0429978455309</v>
      </c>
      <c r="Y218" s="20">
        <f t="shared" si="280"/>
        <v>1910.7603968397505</v>
      </c>
      <c r="Z218" s="20">
        <f t="shared" si="280"/>
        <v>1958.6457308088168</v>
      </c>
      <c r="AA218" s="20">
        <f t="shared" si="280"/>
        <v>2007.7281981271176</v>
      </c>
      <c r="AB218" s="20">
        <f t="shared" si="280"/>
        <v>2078.825986998359</v>
      </c>
      <c r="AC218" s="27"/>
    </row>
    <row r="219" spans="2:29" x14ac:dyDescent="0.25">
      <c r="B219" s="127" t="s">
        <v>169</v>
      </c>
      <c r="C219" s="157"/>
      <c r="D219" s="31">
        <f>-$D$7*D218</f>
        <v>9291.5796472321072</v>
      </c>
      <c r="E219" s="31">
        <f t="shared" ref="E219:AB219" si="281">-$D$7*E218</f>
        <v>17643.191145222238</v>
      </c>
      <c r="F219" s="31">
        <f t="shared" si="281"/>
        <v>6118.6331155017579</v>
      </c>
      <c r="G219" s="31">
        <f t="shared" si="281"/>
        <v>0</v>
      </c>
      <c r="H219" s="31">
        <f t="shared" si="281"/>
        <v>0</v>
      </c>
      <c r="I219" s="31">
        <f t="shared" si="281"/>
        <v>-1039.9886370292586</v>
      </c>
      <c r="J219" s="31">
        <f t="shared" si="281"/>
        <v>-1122.1440799206143</v>
      </c>
      <c r="K219" s="31">
        <f t="shared" si="281"/>
        <v>-1150.1976819186298</v>
      </c>
      <c r="L219" s="31">
        <f t="shared" si="281"/>
        <v>-4677.2201778391309</v>
      </c>
      <c r="M219" s="31">
        <f t="shared" si="281"/>
        <v>-5571.1828371545889</v>
      </c>
      <c r="N219" s="31">
        <f t="shared" si="281"/>
        <v>-286.00960502183705</v>
      </c>
      <c r="O219" s="31">
        <f t="shared" si="281"/>
        <v>-293.70034751222545</v>
      </c>
      <c r="P219" s="31">
        <f t="shared" si="281"/>
        <v>-301.52934081769604</v>
      </c>
      <c r="Q219" s="31">
        <f t="shared" si="281"/>
        <v>-309.60807670298135</v>
      </c>
      <c r="R219" s="31">
        <f t="shared" si="281"/>
        <v>-317.83476323822055</v>
      </c>
      <c r="S219" s="31">
        <f t="shared" si="281"/>
        <v>-334.19038674199419</v>
      </c>
      <c r="T219" s="31">
        <f t="shared" si="281"/>
        <v>-350.73082721543847</v>
      </c>
      <c r="U219" s="31">
        <f t="shared" si="281"/>
        <v>-359.61879534129577</v>
      </c>
      <c r="V219" s="31">
        <f t="shared" si="281"/>
        <v>-368.72896267029995</v>
      </c>
      <c r="W219" s="31">
        <f t="shared" si="281"/>
        <v>-378.06688418252702</v>
      </c>
      <c r="X219" s="31">
        <f t="shared" si="281"/>
        <v>-391.44902954756145</v>
      </c>
      <c r="Y219" s="31">
        <f t="shared" si="281"/>
        <v>-401.25968333634756</v>
      </c>
      <c r="Z219" s="31">
        <f t="shared" si="281"/>
        <v>-411.31560346985151</v>
      </c>
      <c r="AA219" s="31">
        <f t="shared" si="281"/>
        <v>-421.62292160669466</v>
      </c>
      <c r="AB219" s="31">
        <f t="shared" si="281"/>
        <v>-436.55345726965538</v>
      </c>
      <c r="AC219" s="27"/>
    </row>
    <row r="220" spans="2:29" x14ac:dyDescent="0.25">
      <c r="B220" s="36" t="s">
        <v>170</v>
      </c>
      <c r="D220" s="20">
        <f t="shared" ref="D220:AB220" si="282">D60</f>
        <v>14154.68888064</v>
      </c>
      <c r="E220" s="20">
        <f t="shared" si="282"/>
        <v>14744.467584</v>
      </c>
      <c r="F220" s="20">
        <f t="shared" si="282"/>
        <v>14744.467584</v>
      </c>
      <c r="G220" s="20">
        <f t="shared" si="282"/>
        <v>15334.246287360002</v>
      </c>
      <c r="H220" s="20">
        <f t="shared" si="282"/>
        <v>15334.246287360002</v>
      </c>
      <c r="I220" s="20">
        <f t="shared" si="282"/>
        <v>15924.02499072</v>
      </c>
      <c r="J220" s="20">
        <f t="shared" si="282"/>
        <v>16513.803694079998</v>
      </c>
      <c r="K220" s="20">
        <f t="shared" si="282"/>
        <v>16513.803694079998</v>
      </c>
      <c r="L220" s="20">
        <f t="shared" si="282"/>
        <v>17103.582397440001</v>
      </c>
      <c r="M220" s="20">
        <f t="shared" si="282"/>
        <v>17103.582397440001</v>
      </c>
      <c r="N220" s="20">
        <f t="shared" si="282"/>
        <v>0</v>
      </c>
      <c r="O220" s="20">
        <f t="shared" si="282"/>
        <v>0</v>
      </c>
      <c r="P220" s="20">
        <f t="shared" si="282"/>
        <v>0</v>
      </c>
      <c r="Q220" s="20">
        <f t="shared" si="282"/>
        <v>0</v>
      </c>
      <c r="R220" s="20">
        <f t="shared" si="282"/>
        <v>0</v>
      </c>
      <c r="S220" s="20">
        <f t="shared" si="282"/>
        <v>0</v>
      </c>
      <c r="T220" s="20">
        <f t="shared" si="282"/>
        <v>0</v>
      </c>
      <c r="U220" s="20">
        <f t="shared" si="282"/>
        <v>0</v>
      </c>
      <c r="V220" s="20">
        <f t="shared" si="282"/>
        <v>0</v>
      </c>
      <c r="W220" s="20">
        <f t="shared" si="282"/>
        <v>0</v>
      </c>
      <c r="X220" s="20">
        <f t="shared" si="282"/>
        <v>0</v>
      </c>
      <c r="Y220" s="20">
        <f t="shared" si="282"/>
        <v>0</v>
      </c>
      <c r="Z220" s="20">
        <f t="shared" si="282"/>
        <v>0</v>
      </c>
      <c r="AA220" s="20">
        <f t="shared" si="282"/>
        <v>0</v>
      </c>
      <c r="AB220" s="20">
        <f t="shared" si="282"/>
        <v>0</v>
      </c>
      <c r="AC220" s="27"/>
    </row>
    <row r="221" spans="2:29" x14ac:dyDescent="0.25">
      <c r="B221" s="4" t="s">
        <v>171</v>
      </c>
      <c r="C221" s="4"/>
      <c r="D221" s="31">
        <f>SUM(D219:D220)</f>
        <v>23446.268527872107</v>
      </c>
      <c r="E221" s="31">
        <f t="shared" ref="E221:AB221" si="283">SUM(E219:E220)</f>
        <v>32387.658729222239</v>
      </c>
      <c r="F221" s="31">
        <f t="shared" si="283"/>
        <v>20863.10069950176</v>
      </c>
      <c r="G221" s="31">
        <f t="shared" si="283"/>
        <v>15334.246287360002</v>
      </c>
      <c r="H221" s="31">
        <f t="shared" si="283"/>
        <v>15334.246287360002</v>
      </c>
      <c r="I221" s="31">
        <f t="shared" si="283"/>
        <v>14884.036353690741</v>
      </c>
      <c r="J221" s="31">
        <f t="shared" si="283"/>
        <v>15391.659614159384</v>
      </c>
      <c r="K221" s="31">
        <f t="shared" si="283"/>
        <v>15363.606012161368</v>
      </c>
      <c r="L221" s="31">
        <f t="shared" si="283"/>
        <v>12426.362219600869</v>
      </c>
      <c r="M221" s="31">
        <f t="shared" si="283"/>
        <v>11532.399560285412</v>
      </c>
      <c r="N221" s="31">
        <f t="shared" si="283"/>
        <v>-286.00960502183705</v>
      </c>
      <c r="O221" s="31">
        <f t="shared" si="283"/>
        <v>-293.70034751222545</v>
      </c>
      <c r="P221" s="31">
        <f t="shared" si="283"/>
        <v>-301.52934081769604</v>
      </c>
      <c r="Q221" s="31">
        <f t="shared" si="283"/>
        <v>-309.60807670298135</v>
      </c>
      <c r="R221" s="31">
        <f t="shared" si="283"/>
        <v>-317.83476323822055</v>
      </c>
      <c r="S221" s="31">
        <f t="shared" si="283"/>
        <v>-334.19038674199419</v>
      </c>
      <c r="T221" s="31">
        <f t="shared" si="283"/>
        <v>-350.73082721543847</v>
      </c>
      <c r="U221" s="31">
        <f t="shared" si="283"/>
        <v>-359.61879534129577</v>
      </c>
      <c r="V221" s="31">
        <f t="shared" si="283"/>
        <v>-368.72896267029995</v>
      </c>
      <c r="W221" s="31">
        <f t="shared" si="283"/>
        <v>-378.06688418252702</v>
      </c>
      <c r="X221" s="31">
        <f t="shared" si="283"/>
        <v>-391.44902954756145</v>
      </c>
      <c r="Y221" s="31">
        <f t="shared" si="283"/>
        <v>-401.25968333634756</v>
      </c>
      <c r="Z221" s="31">
        <f t="shared" si="283"/>
        <v>-411.31560346985151</v>
      </c>
      <c r="AA221" s="31">
        <f t="shared" si="283"/>
        <v>-421.62292160669466</v>
      </c>
      <c r="AB221" s="31">
        <f t="shared" si="283"/>
        <v>-436.55345726965538</v>
      </c>
      <c r="AC221" s="27"/>
    </row>
    <row r="222" spans="2:29" x14ac:dyDescent="0.25">
      <c r="AC222" s="10"/>
    </row>
    <row r="223" spans="2:29" x14ac:dyDescent="0.25">
      <c r="B223" s="15" t="s">
        <v>236</v>
      </c>
      <c r="AC223" s="10"/>
    </row>
    <row r="224" spans="2:29" x14ac:dyDescent="0.25">
      <c r="B224" s="36" t="s">
        <v>237</v>
      </c>
      <c r="D224" s="20">
        <f t="shared" ref="D224:AB224" si="284">D215</f>
        <v>4252.9937161931157</v>
      </c>
      <c r="E224" s="20">
        <f t="shared" si="284"/>
        <v>6678.7659866354452</v>
      </c>
      <c r="F224" s="20">
        <f t="shared" si="284"/>
        <v>4161.9997034685539</v>
      </c>
      <c r="G224" s="20">
        <f t="shared" si="284"/>
        <v>2650.1815727511807</v>
      </c>
      <c r="H224" s="20">
        <f t="shared" si="284"/>
        <v>2644.6487127922774</v>
      </c>
      <c r="I224" s="20">
        <f t="shared" si="284"/>
        <v>1511.6517201128452</v>
      </c>
      <c r="J224" s="20">
        <f t="shared" si="284"/>
        <v>384.45274259157839</v>
      </c>
      <c r="K224" s="20">
        <f t="shared" si="284"/>
        <v>391.13217163872491</v>
      </c>
      <c r="L224" s="20">
        <f t="shared" si="284"/>
        <v>398.13099386448329</v>
      </c>
      <c r="M224" s="20">
        <f t="shared" si="284"/>
        <v>404.99616155470994</v>
      </c>
      <c r="N224" s="20">
        <f t="shared" si="284"/>
        <v>26275.644009745523</v>
      </c>
      <c r="O224" s="20">
        <f t="shared" si="284"/>
        <v>26978.323599557345</v>
      </c>
      <c r="P224" s="20">
        <f t="shared" si="284"/>
        <v>27693.994082479137</v>
      </c>
      <c r="Q224" s="20">
        <f t="shared" si="284"/>
        <v>28432.132424109306</v>
      </c>
      <c r="R224" s="20">
        <f t="shared" si="284"/>
        <v>29184.148127644909</v>
      </c>
      <c r="S224" s="20">
        <f t="shared" si="284"/>
        <v>30626.181558636399</v>
      </c>
      <c r="T224" s="20">
        <f t="shared" si="284"/>
        <v>32085.283498619116</v>
      </c>
      <c r="U224" s="20">
        <f t="shared" si="284"/>
        <v>32897.555717913412</v>
      </c>
      <c r="V224" s="20">
        <f t="shared" si="284"/>
        <v>33730.134742690076</v>
      </c>
      <c r="W224" s="20">
        <f t="shared" si="284"/>
        <v>34583.528243086133</v>
      </c>
      <c r="X224" s="20">
        <f t="shared" si="284"/>
        <v>35781.085267787363</v>
      </c>
      <c r="Y224" s="20">
        <f t="shared" si="284"/>
        <v>36677.681814140997</v>
      </c>
      <c r="Z224" s="20">
        <f t="shared" si="284"/>
        <v>37596.693274153455</v>
      </c>
      <c r="AA224" s="20">
        <f t="shared" si="284"/>
        <v>38538.68002066623</v>
      </c>
      <c r="AB224" s="20">
        <f t="shared" si="284"/>
        <v>39504.21643584183</v>
      </c>
      <c r="AC224" s="27"/>
    </row>
    <row r="225" spans="2:29" x14ac:dyDescent="0.25">
      <c r="B225" s="127" t="s">
        <v>169</v>
      </c>
      <c r="C225" s="157"/>
      <c r="D225" s="31">
        <f>-$D$7*D224</f>
        <v>-893.12868040055423</v>
      </c>
      <c r="E225" s="31">
        <f t="shared" ref="E225:AB225" si="285">-$D$7*E224</f>
        <v>-1402.5408571934433</v>
      </c>
      <c r="F225" s="31">
        <f t="shared" si="285"/>
        <v>-874.01993772839626</v>
      </c>
      <c r="G225" s="31">
        <f t="shared" si="285"/>
        <v>-556.53813027774788</v>
      </c>
      <c r="H225" s="31">
        <f t="shared" si="285"/>
        <v>-555.37622968637822</v>
      </c>
      <c r="I225" s="31">
        <f t="shared" si="285"/>
        <v>-317.44686122369745</v>
      </c>
      <c r="J225" s="31">
        <f t="shared" si="285"/>
        <v>-80.735075944231454</v>
      </c>
      <c r="K225" s="31">
        <f t="shared" si="285"/>
        <v>-82.137756044132232</v>
      </c>
      <c r="L225" s="31">
        <f t="shared" si="285"/>
        <v>-83.607508711541485</v>
      </c>
      <c r="M225" s="31">
        <f t="shared" si="285"/>
        <v>-85.049193926489082</v>
      </c>
      <c r="N225" s="31">
        <f t="shared" si="285"/>
        <v>-5517.8852420465601</v>
      </c>
      <c r="O225" s="31">
        <f t="shared" si="285"/>
        <v>-5665.4479559070423</v>
      </c>
      <c r="P225" s="31">
        <f t="shared" si="285"/>
        <v>-5815.7387573206188</v>
      </c>
      <c r="Q225" s="31">
        <f t="shared" si="285"/>
        <v>-5970.7478090629538</v>
      </c>
      <c r="R225" s="31">
        <f t="shared" si="285"/>
        <v>-6128.671106805431</v>
      </c>
      <c r="S225" s="31">
        <f t="shared" si="285"/>
        <v>-6431.4981273136436</v>
      </c>
      <c r="T225" s="31">
        <f t="shared" si="285"/>
        <v>-6737.9095347100138</v>
      </c>
      <c r="U225" s="31">
        <f t="shared" si="285"/>
        <v>-6908.4867007618159</v>
      </c>
      <c r="V225" s="31">
        <f t="shared" si="285"/>
        <v>-7083.3282959649159</v>
      </c>
      <c r="W225" s="31">
        <f t="shared" si="285"/>
        <v>-7262.5409310480882</v>
      </c>
      <c r="X225" s="31">
        <f t="shared" si="285"/>
        <v>-7514.0279062353457</v>
      </c>
      <c r="Y225" s="31">
        <f t="shared" si="285"/>
        <v>-7702.3131809696088</v>
      </c>
      <c r="Z225" s="31">
        <f t="shared" si="285"/>
        <v>-7895.3055875722248</v>
      </c>
      <c r="AA225" s="31">
        <f t="shared" si="285"/>
        <v>-8093.1228043399078</v>
      </c>
      <c r="AB225" s="31">
        <f t="shared" si="285"/>
        <v>-8295.8854515267849</v>
      </c>
      <c r="AC225" s="27"/>
    </row>
    <row r="226" spans="2:29" x14ac:dyDescent="0.25">
      <c r="B226" s="36" t="s">
        <v>170</v>
      </c>
      <c r="D226" s="20">
        <f t="shared" ref="D226:AB226" si="286">D69</f>
        <v>142.97665536000014</v>
      </c>
      <c r="E226" s="20">
        <f t="shared" si="286"/>
        <v>148.93401600000013</v>
      </c>
      <c r="F226" s="20">
        <f t="shared" si="286"/>
        <v>148.93401600000013</v>
      </c>
      <c r="G226" s="20">
        <f t="shared" si="286"/>
        <v>154.89137664000015</v>
      </c>
      <c r="H226" s="20">
        <f t="shared" si="286"/>
        <v>154.89137664000015</v>
      </c>
      <c r="I226" s="20">
        <f t="shared" si="286"/>
        <v>160.84873728000014</v>
      </c>
      <c r="J226" s="20">
        <f t="shared" si="286"/>
        <v>166.80609792000013</v>
      </c>
      <c r="K226" s="20">
        <f t="shared" si="286"/>
        <v>166.80609792000013</v>
      </c>
      <c r="L226" s="20">
        <f t="shared" si="286"/>
        <v>172.76345856000015</v>
      </c>
      <c r="M226" s="20">
        <f t="shared" si="286"/>
        <v>172.76345856000015</v>
      </c>
      <c r="N226" s="20">
        <f t="shared" si="286"/>
        <v>0</v>
      </c>
      <c r="O226" s="20">
        <f t="shared" si="286"/>
        <v>0</v>
      </c>
      <c r="P226" s="20">
        <f t="shared" si="286"/>
        <v>0</v>
      </c>
      <c r="Q226" s="20">
        <f t="shared" si="286"/>
        <v>0</v>
      </c>
      <c r="R226" s="20">
        <f t="shared" si="286"/>
        <v>0</v>
      </c>
      <c r="S226" s="20">
        <f t="shared" si="286"/>
        <v>0</v>
      </c>
      <c r="T226" s="20">
        <f t="shared" si="286"/>
        <v>0</v>
      </c>
      <c r="U226" s="20">
        <f t="shared" si="286"/>
        <v>0</v>
      </c>
      <c r="V226" s="20">
        <f t="shared" si="286"/>
        <v>0</v>
      </c>
      <c r="W226" s="20">
        <f t="shared" si="286"/>
        <v>0</v>
      </c>
      <c r="X226" s="20">
        <f t="shared" si="286"/>
        <v>0</v>
      </c>
      <c r="Y226" s="20">
        <f t="shared" si="286"/>
        <v>0</v>
      </c>
      <c r="Z226" s="20">
        <f t="shared" si="286"/>
        <v>0</v>
      </c>
      <c r="AA226" s="20">
        <f t="shared" si="286"/>
        <v>0</v>
      </c>
      <c r="AB226" s="20">
        <f t="shared" si="286"/>
        <v>0</v>
      </c>
      <c r="AC226" s="27"/>
    </row>
    <row r="227" spans="2:29" x14ac:dyDescent="0.25">
      <c r="B227" s="4" t="s">
        <v>171</v>
      </c>
      <c r="C227" s="4"/>
      <c r="D227" s="31">
        <f>SUM(D225:D226)</f>
        <v>-750.15202504055412</v>
      </c>
      <c r="E227" s="31">
        <f t="shared" ref="E227:AB227" si="287">SUM(E225:E226)</f>
        <v>-1253.6068411934432</v>
      </c>
      <c r="F227" s="31">
        <f t="shared" si="287"/>
        <v>-725.0859217283961</v>
      </c>
      <c r="G227" s="31">
        <f t="shared" si="287"/>
        <v>-401.64675363774774</v>
      </c>
      <c r="H227" s="31">
        <f t="shared" si="287"/>
        <v>-400.48485304637808</v>
      </c>
      <c r="I227" s="31">
        <f t="shared" si="287"/>
        <v>-156.59812394369732</v>
      </c>
      <c r="J227" s="31">
        <f t="shared" si="287"/>
        <v>86.071021975768673</v>
      </c>
      <c r="K227" s="31">
        <f t="shared" si="287"/>
        <v>84.668341875867895</v>
      </c>
      <c r="L227" s="31">
        <f t="shared" si="287"/>
        <v>89.155949848458661</v>
      </c>
      <c r="M227" s="31">
        <f t="shared" si="287"/>
        <v>87.714264633511064</v>
      </c>
      <c r="N227" s="31">
        <f t="shared" si="287"/>
        <v>-5517.8852420465601</v>
      </c>
      <c r="O227" s="31">
        <f t="shared" si="287"/>
        <v>-5665.4479559070423</v>
      </c>
      <c r="P227" s="31">
        <f t="shared" si="287"/>
        <v>-5815.7387573206188</v>
      </c>
      <c r="Q227" s="31">
        <f t="shared" si="287"/>
        <v>-5970.7478090629538</v>
      </c>
      <c r="R227" s="31">
        <f t="shared" si="287"/>
        <v>-6128.671106805431</v>
      </c>
      <c r="S227" s="31">
        <f t="shared" si="287"/>
        <v>-6431.4981273136436</v>
      </c>
      <c r="T227" s="31">
        <f t="shared" si="287"/>
        <v>-6737.9095347100138</v>
      </c>
      <c r="U227" s="31">
        <f t="shared" si="287"/>
        <v>-6908.4867007618159</v>
      </c>
      <c r="V227" s="31">
        <f t="shared" si="287"/>
        <v>-7083.3282959649159</v>
      </c>
      <c r="W227" s="31">
        <f t="shared" si="287"/>
        <v>-7262.5409310480882</v>
      </c>
      <c r="X227" s="31">
        <f t="shared" si="287"/>
        <v>-7514.0279062353457</v>
      </c>
      <c r="Y227" s="31">
        <f t="shared" si="287"/>
        <v>-7702.3131809696088</v>
      </c>
      <c r="Z227" s="31">
        <f t="shared" si="287"/>
        <v>-7895.3055875722248</v>
      </c>
      <c r="AA227" s="31">
        <f t="shared" si="287"/>
        <v>-8093.1228043399078</v>
      </c>
      <c r="AB227" s="31">
        <f t="shared" si="287"/>
        <v>-8295.8854515267849</v>
      </c>
      <c r="AC227" s="27"/>
    </row>
    <row r="228" spans="2:29" x14ac:dyDescent="0.25"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7"/>
    </row>
    <row r="229" spans="2:29" s="76" customFormat="1" x14ac:dyDescent="0.25">
      <c r="B229" s="76" t="s">
        <v>191</v>
      </c>
      <c r="D229" s="146">
        <f t="shared" ref="D229:AA229" si="288">D208</f>
        <v>-44245.617367771942</v>
      </c>
      <c r="E229" s="146">
        <f t="shared" si="288"/>
        <v>-84015.195929629699</v>
      </c>
      <c r="F229" s="146">
        <f t="shared" si="288"/>
        <v>-29136.348169055989</v>
      </c>
      <c r="G229" s="146">
        <f t="shared" si="288"/>
        <v>0</v>
      </c>
      <c r="H229" s="146">
        <f t="shared" si="288"/>
        <v>0</v>
      </c>
      <c r="I229" s="146">
        <f t="shared" si="288"/>
        <v>4952.3268429964692</v>
      </c>
      <c r="J229" s="146">
        <f t="shared" si="288"/>
        <v>5343.543237717211</v>
      </c>
      <c r="K229" s="146">
        <f t="shared" si="288"/>
        <v>5477.131818660142</v>
      </c>
      <c r="L229" s="146">
        <f t="shared" si="288"/>
        <v>22272.477037329194</v>
      </c>
      <c r="M229" s="146">
        <f t="shared" si="288"/>
        <v>26529.442081688521</v>
      </c>
      <c r="N229" s="146">
        <f t="shared" si="288"/>
        <v>1361.9505001039859</v>
      </c>
      <c r="O229" s="146">
        <f t="shared" si="288"/>
        <v>1398.5730833915497</v>
      </c>
      <c r="P229" s="146">
        <f t="shared" si="288"/>
        <v>1435.8540038937908</v>
      </c>
      <c r="Q229" s="146">
        <f t="shared" si="288"/>
        <v>1474.3241747761017</v>
      </c>
      <c r="R229" s="146">
        <f t="shared" si="288"/>
        <v>1513.4988725629551</v>
      </c>
      <c r="S229" s="146">
        <f t="shared" si="288"/>
        <v>1591.3827940094961</v>
      </c>
      <c r="T229" s="146">
        <f t="shared" si="288"/>
        <v>1670.1467962639927</v>
      </c>
      <c r="U229" s="146">
        <f t="shared" si="288"/>
        <v>1712.4704540061703</v>
      </c>
      <c r="V229" s="146">
        <f t="shared" si="288"/>
        <v>1755.8522031919047</v>
      </c>
      <c r="W229" s="146">
        <f t="shared" si="288"/>
        <v>1800.3184961072716</v>
      </c>
      <c r="X229" s="146">
        <f t="shared" si="288"/>
        <v>1864.0429978455309</v>
      </c>
      <c r="Y229" s="146">
        <f t="shared" si="288"/>
        <v>1910.7603968397505</v>
      </c>
      <c r="Z229" s="146">
        <f t="shared" si="288"/>
        <v>1958.6457308088168</v>
      </c>
      <c r="AA229" s="146">
        <f t="shared" si="288"/>
        <v>2007.7281981271176</v>
      </c>
      <c r="AB229" s="146">
        <f t="shared" ref="AB229" si="289">AB208</f>
        <v>2078.825986998359</v>
      </c>
    </row>
    <row r="230" spans="2:29" s="76" customFormat="1" x14ac:dyDescent="0.25">
      <c r="B230" s="76" t="s">
        <v>192</v>
      </c>
      <c r="D230" s="146">
        <f t="shared" ref="D230:AB230" si="290">D215</f>
        <v>4252.9937161931157</v>
      </c>
      <c r="E230" s="146">
        <f t="shared" si="290"/>
        <v>6678.7659866354452</v>
      </c>
      <c r="F230" s="146">
        <f t="shared" si="290"/>
        <v>4161.9997034685539</v>
      </c>
      <c r="G230" s="146">
        <f t="shared" si="290"/>
        <v>2650.1815727511807</v>
      </c>
      <c r="H230" s="146">
        <f t="shared" si="290"/>
        <v>2644.6487127922774</v>
      </c>
      <c r="I230" s="146">
        <f t="shared" si="290"/>
        <v>1511.6517201128452</v>
      </c>
      <c r="J230" s="146">
        <f t="shared" si="290"/>
        <v>384.45274259157839</v>
      </c>
      <c r="K230" s="146">
        <f t="shared" si="290"/>
        <v>391.13217163872491</v>
      </c>
      <c r="L230" s="146">
        <f t="shared" si="290"/>
        <v>398.13099386448329</v>
      </c>
      <c r="M230" s="146">
        <f t="shared" si="290"/>
        <v>404.99616155470994</v>
      </c>
      <c r="N230" s="146">
        <f t="shared" si="290"/>
        <v>26275.644009745523</v>
      </c>
      <c r="O230" s="146">
        <f t="shared" si="290"/>
        <v>26978.323599557345</v>
      </c>
      <c r="P230" s="146">
        <f t="shared" si="290"/>
        <v>27693.994082479137</v>
      </c>
      <c r="Q230" s="146">
        <f t="shared" si="290"/>
        <v>28432.132424109306</v>
      </c>
      <c r="R230" s="146">
        <f t="shared" si="290"/>
        <v>29184.148127644909</v>
      </c>
      <c r="S230" s="146">
        <f t="shared" si="290"/>
        <v>30626.181558636399</v>
      </c>
      <c r="T230" s="146">
        <f t="shared" si="290"/>
        <v>32085.283498619116</v>
      </c>
      <c r="U230" s="146">
        <f t="shared" si="290"/>
        <v>32897.555717913412</v>
      </c>
      <c r="V230" s="146">
        <f t="shared" si="290"/>
        <v>33730.134742690076</v>
      </c>
      <c r="W230" s="146">
        <f t="shared" si="290"/>
        <v>34583.528243086133</v>
      </c>
      <c r="X230" s="146">
        <f t="shared" si="290"/>
        <v>35781.085267787363</v>
      </c>
      <c r="Y230" s="146">
        <f t="shared" si="290"/>
        <v>36677.681814140997</v>
      </c>
      <c r="Z230" s="146">
        <f t="shared" si="290"/>
        <v>37596.693274153455</v>
      </c>
      <c r="AA230" s="146">
        <f t="shared" si="290"/>
        <v>38538.68002066623</v>
      </c>
      <c r="AB230" s="146">
        <f t="shared" si="290"/>
        <v>39504.21643584183</v>
      </c>
    </row>
    <row r="231" spans="2:29" x14ac:dyDescent="0.25">
      <c r="Y231" s="83"/>
      <c r="Z231" s="83"/>
      <c r="AA231" s="83"/>
      <c r="AB231" s="83"/>
      <c r="AC231" s="83"/>
    </row>
    <row r="232" spans="2:29" x14ac:dyDescent="0.25">
      <c r="Y232" s="83"/>
      <c r="Z232" s="83"/>
      <c r="AA232" s="83"/>
      <c r="AB232" s="83"/>
      <c r="AC232" s="83"/>
    </row>
  </sheetData>
  <mergeCells count="2">
    <mergeCell ref="L3:M3"/>
    <mergeCell ref="N3:O3"/>
  </mergeCells>
  <dataValidations disablePrompts="1" count="1">
    <dataValidation type="list" allowBlank="1" showInputMessage="1" showErrorMessage="1" sqref="D5">
      <formula1>$F$4:$F$8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6"/>
  <sheetViews>
    <sheetView showGridLines="0" zoomScale="85" zoomScaleNormal="85" workbookViewId="0">
      <selection activeCell="C12" sqref="C12"/>
    </sheetView>
  </sheetViews>
  <sheetFormatPr defaultColWidth="9.109375" defaultRowHeight="13.8" outlineLevelRow="1" x14ac:dyDescent="0.25"/>
  <cols>
    <col min="1" max="1" width="2.6640625" style="2" customWidth="1"/>
    <col min="2" max="2" width="21.5546875" style="2" customWidth="1"/>
    <col min="3" max="3" width="11.6640625" style="2" bestFit="1" customWidth="1"/>
    <col min="4" max="4" width="11.6640625" style="2" customWidth="1"/>
    <col min="5" max="16384" width="9.109375" style="2"/>
  </cols>
  <sheetData>
    <row r="1" spans="1:43" ht="16.8" x14ac:dyDescent="0.3">
      <c r="A1" s="66" t="s">
        <v>0</v>
      </c>
    </row>
    <row r="2" spans="1:43" x14ac:dyDescent="0.25">
      <c r="A2" s="2" t="s">
        <v>135</v>
      </c>
    </row>
    <row r="4" spans="1:43" x14ac:dyDescent="0.25">
      <c r="A4" s="35"/>
      <c r="B4" s="35" t="s">
        <v>182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</row>
    <row r="5" spans="1:43" s="76" customFormat="1" x14ac:dyDescent="0.25">
      <c r="A5" s="77"/>
      <c r="B5" s="77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</row>
    <row r="6" spans="1:43" x14ac:dyDescent="0.25">
      <c r="B6" s="16" t="s">
        <v>153</v>
      </c>
      <c r="C6" s="133">
        <f>E45</f>
        <v>366596.99999999994</v>
      </c>
    </row>
    <row r="7" spans="1:43" x14ac:dyDescent="0.25">
      <c r="B7" s="16" t="s">
        <v>152</v>
      </c>
      <c r="C7" s="133">
        <f>E43</f>
        <v>318779.99999999994</v>
      </c>
      <c r="D7" s="20"/>
    </row>
    <row r="8" spans="1:43" x14ac:dyDescent="0.25">
      <c r="B8" s="2" t="s">
        <v>154</v>
      </c>
      <c r="C8" s="20">
        <f>SUMPRODUCT(C6:C7,$D$11:$D$12)</f>
        <v>341158.53679524444</v>
      </c>
    </row>
    <row r="10" spans="1:43" x14ac:dyDescent="0.25">
      <c r="B10" s="15" t="s">
        <v>180</v>
      </c>
      <c r="C10" s="20"/>
    </row>
    <row r="11" spans="1:43" x14ac:dyDescent="0.25">
      <c r="B11" s="36" t="s">
        <v>179</v>
      </c>
      <c r="C11" s="20">
        <f>'Tax Equity and Partnership'!C63</f>
        <v>171568.78209687411</v>
      </c>
      <c r="D11" s="129">
        <f>C11/$C$13</f>
        <v>0.46800378098258888</v>
      </c>
    </row>
    <row r="12" spans="1:43" x14ac:dyDescent="0.25">
      <c r="B12" s="36" t="s">
        <v>178</v>
      </c>
      <c r="C12" s="20">
        <f>C6-C11</f>
        <v>195028.21790312583</v>
      </c>
      <c r="D12" s="129">
        <f>C12/$C$13</f>
        <v>0.53199621901741112</v>
      </c>
    </row>
    <row r="13" spans="1:43" x14ac:dyDescent="0.25">
      <c r="B13" s="4" t="s">
        <v>15</v>
      </c>
      <c r="C13" s="31">
        <f>SUM(C11:C12)</f>
        <v>366596.99999999994</v>
      </c>
      <c r="D13" s="130">
        <f>C13/$C$13</f>
        <v>1</v>
      </c>
    </row>
    <row r="15" spans="1:43" x14ac:dyDescent="0.25">
      <c r="B15" s="94"/>
      <c r="C15" s="94" t="s">
        <v>46</v>
      </c>
      <c r="D15" s="104" t="s">
        <v>15</v>
      </c>
      <c r="E15" s="104">
        <v>1</v>
      </c>
      <c r="F15" s="104">
        <v>2</v>
      </c>
      <c r="G15" s="104">
        <v>3</v>
      </c>
      <c r="H15" s="104">
        <v>4</v>
      </c>
      <c r="I15" s="104">
        <v>5</v>
      </c>
      <c r="J15" s="104">
        <v>6</v>
      </c>
      <c r="K15" s="104">
        <v>7</v>
      </c>
      <c r="L15" s="104">
        <v>8</v>
      </c>
      <c r="M15" s="104">
        <v>9</v>
      </c>
      <c r="N15" s="104">
        <v>10</v>
      </c>
      <c r="O15" s="104">
        <v>11</v>
      </c>
      <c r="P15" s="104">
        <v>12</v>
      </c>
      <c r="Q15" s="104">
        <v>13</v>
      </c>
      <c r="R15" s="104">
        <v>14</v>
      </c>
      <c r="S15" s="104">
        <v>15</v>
      </c>
      <c r="T15" s="104">
        <v>16</v>
      </c>
      <c r="U15" s="104">
        <v>17</v>
      </c>
      <c r="V15" s="104">
        <v>18</v>
      </c>
      <c r="W15" s="104">
        <v>19</v>
      </c>
      <c r="X15" s="104">
        <v>20</v>
      </c>
      <c r="Y15" s="104">
        <v>21</v>
      </c>
      <c r="Z15" s="104">
        <v>22</v>
      </c>
      <c r="AA15" s="104">
        <v>23</v>
      </c>
      <c r="AB15" s="104">
        <v>24</v>
      </c>
      <c r="AC15" s="104">
        <v>25</v>
      </c>
      <c r="AD15" s="104">
        <v>26</v>
      </c>
      <c r="AE15" s="104">
        <v>27</v>
      </c>
      <c r="AF15" s="104">
        <v>28</v>
      </c>
      <c r="AG15" s="104">
        <v>29</v>
      </c>
      <c r="AH15" s="104">
        <v>30</v>
      </c>
      <c r="AI15" s="104">
        <v>31</v>
      </c>
      <c r="AJ15" s="104">
        <v>32</v>
      </c>
      <c r="AK15" s="104">
        <v>33</v>
      </c>
      <c r="AL15" s="104">
        <v>34</v>
      </c>
      <c r="AM15" s="104">
        <v>35</v>
      </c>
      <c r="AN15" s="104">
        <v>36</v>
      </c>
      <c r="AO15" s="104">
        <v>37</v>
      </c>
      <c r="AP15" s="104">
        <v>38</v>
      </c>
      <c r="AQ15" s="104">
        <v>39</v>
      </c>
    </row>
    <row r="16" spans="1:43" x14ac:dyDescent="0.25">
      <c r="B16" s="91" t="s">
        <v>43</v>
      </c>
      <c r="C16" s="99">
        <v>0.9</v>
      </c>
      <c r="D16" s="71">
        <f>SUM(E16:AQ16)</f>
        <v>0.99999999999999989</v>
      </c>
      <c r="E16" s="55">
        <v>0.2</v>
      </c>
      <c r="F16" s="55">
        <v>0.32</v>
      </c>
      <c r="G16" s="55">
        <v>0.192</v>
      </c>
      <c r="H16" s="55">
        <v>0.1152</v>
      </c>
      <c r="I16" s="55">
        <v>0.1152</v>
      </c>
      <c r="J16" s="55">
        <v>5.7599999999999998E-2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x14ac:dyDescent="0.25">
      <c r="B17" s="91" t="s">
        <v>44</v>
      </c>
      <c r="C17" s="99">
        <v>7.0000000000000007E-2</v>
      </c>
      <c r="D17" s="71">
        <f>SUM(E17:AQ17)</f>
        <v>1.0000000000000002</v>
      </c>
      <c r="E17" s="55">
        <v>0.05</v>
      </c>
      <c r="F17" s="55">
        <v>9.5000000000000001E-2</v>
      </c>
      <c r="G17" s="55">
        <v>8.5500000000000007E-2</v>
      </c>
      <c r="H17" s="55">
        <v>7.6999999999999999E-2</v>
      </c>
      <c r="I17" s="55">
        <v>6.93E-2</v>
      </c>
      <c r="J17" s="55">
        <v>6.2300000000000001E-2</v>
      </c>
      <c r="K17" s="55">
        <v>5.8999999999999997E-2</v>
      </c>
      <c r="L17" s="55">
        <v>5.8999999999999997E-2</v>
      </c>
      <c r="M17" s="55">
        <v>5.91E-2</v>
      </c>
      <c r="N17" s="55">
        <v>5.8999999999999997E-2</v>
      </c>
      <c r="O17" s="55">
        <v>5.91E-2</v>
      </c>
      <c r="P17" s="55">
        <v>5.8999999999999997E-2</v>
      </c>
      <c r="Q17" s="55">
        <v>5.91E-2</v>
      </c>
      <c r="R17" s="55">
        <v>5.8999999999999997E-2</v>
      </c>
      <c r="S17" s="55">
        <v>5.91E-2</v>
      </c>
      <c r="T17" s="55">
        <v>2.9499999999999998E-2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x14ac:dyDescent="0.25">
      <c r="B18" s="91" t="s">
        <v>207</v>
      </c>
      <c r="C18" s="99">
        <v>0.02</v>
      </c>
      <c r="D18" s="71">
        <f>SUM(E18:AQ18)</f>
        <v>1.0000000000000002</v>
      </c>
      <c r="E18" s="55">
        <v>0.05</v>
      </c>
      <c r="F18" s="55">
        <v>0.05</v>
      </c>
      <c r="G18" s="55">
        <v>0.05</v>
      </c>
      <c r="H18" s="55">
        <v>0.05</v>
      </c>
      <c r="I18" s="55">
        <v>0.05</v>
      </c>
      <c r="J18" s="55">
        <v>0.05</v>
      </c>
      <c r="K18" s="55">
        <v>0.05</v>
      </c>
      <c r="L18" s="55">
        <v>0.05</v>
      </c>
      <c r="M18" s="55">
        <v>0.05</v>
      </c>
      <c r="N18" s="55">
        <v>0.05</v>
      </c>
      <c r="O18" s="55">
        <v>0.05</v>
      </c>
      <c r="P18" s="55">
        <v>0.05</v>
      </c>
      <c r="Q18" s="55">
        <v>0.05</v>
      </c>
      <c r="R18" s="55">
        <v>0.05</v>
      </c>
      <c r="S18" s="55">
        <v>0.05</v>
      </c>
      <c r="T18" s="55">
        <v>0.05</v>
      </c>
      <c r="U18" s="55">
        <v>0.05</v>
      </c>
      <c r="V18" s="55">
        <v>0.05</v>
      </c>
      <c r="W18" s="55">
        <v>0.05</v>
      </c>
      <c r="X18" s="55">
        <v>0.05</v>
      </c>
      <c r="Y18" s="55"/>
      <c r="Z18" s="55"/>
      <c r="AA18" s="55"/>
      <c r="AB18" s="55"/>
      <c r="AC18" s="55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x14ac:dyDescent="0.25">
      <c r="B19" s="92" t="s">
        <v>45</v>
      </c>
      <c r="C19" s="105">
        <v>0.01</v>
      </c>
      <c r="D19" s="72">
        <f>SUM(E19:AQ19)</f>
        <v>1.0000000000000004</v>
      </c>
      <c r="E19" s="64">
        <v>2.564102564102564E-2</v>
      </c>
      <c r="F19" s="64">
        <v>2.564102564102564E-2</v>
      </c>
      <c r="G19" s="64">
        <v>2.564102564102564E-2</v>
      </c>
      <c r="H19" s="64">
        <v>2.564102564102564E-2</v>
      </c>
      <c r="I19" s="64">
        <v>2.564102564102564E-2</v>
      </c>
      <c r="J19" s="64">
        <v>2.564102564102564E-2</v>
      </c>
      <c r="K19" s="64">
        <v>2.564102564102564E-2</v>
      </c>
      <c r="L19" s="64">
        <v>2.564102564102564E-2</v>
      </c>
      <c r="M19" s="64">
        <v>2.564102564102564E-2</v>
      </c>
      <c r="N19" s="64">
        <v>2.564102564102564E-2</v>
      </c>
      <c r="O19" s="64">
        <v>2.564102564102564E-2</v>
      </c>
      <c r="P19" s="64">
        <v>2.564102564102564E-2</v>
      </c>
      <c r="Q19" s="64">
        <v>2.564102564102564E-2</v>
      </c>
      <c r="R19" s="64">
        <v>2.564102564102564E-2</v>
      </c>
      <c r="S19" s="64">
        <v>2.564102564102564E-2</v>
      </c>
      <c r="T19" s="64">
        <v>2.564102564102564E-2</v>
      </c>
      <c r="U19" s="64">
        <v>2.564102564102564E-2</v>
      </c>
      <c r="V19" s="64">
        <v>2.564102564102564E-2</v>
      </c>
      <c r="W19" s="64">
        <v>2.564102564102564E-2</v>
      </c>
      <c r="X19" s="64">
        <v>2.564102564102564E-2</v>
      </c>
      <c r="Y19" s="64">
        <v>2.564102564102564E-2</v>
      </c>
      <c r="Z19" s="64">
        <v>2.564102564102564E-2</v>
      </c>
      <c r="AA19" s="64">
        <v>2.564102564102564E-2</v>
      </c>
      <c r="AB19" s="64">
        <v>2.564102564102564E-2</v>
      </c>
      <c r="AC19" s="64">
        <v>2.564102564102564E-2</v>
      </c>
      <c r="AD19" s="64">
        <v>2.564102564102564E-2</v>
      </c>
      <c r="AE19" s="64">
        <v>2.564102564102564E-2</v>
      </c>
      <c r="AF19" s="64">
        <v>2.564102564102564E-2</v>
      </c>
      <c r="AG19" s="64">
        <v>2.564102564102564E-2</v>
      </c>
      <c r="AH19" s="64">
        <v>2.564102564102564E-2</v>
      </c>
      <c r="AI19" s="64">
        <v>2.564102564102564E-2</v>
      </c>
      <c r="AJ19" s="64">
        <v>2.564102564102564E-2</v>
      </c>
      <c r="AK19" s="64">
        <v>2.564102564102564E-2</v>
      </c>
      <c r="AL19" s="64">
        <v>2.564102564102564E-2</v>
      </c>
      <c r="AM19" s="64">
        <v>2.564102564102564E-2</v>
      </c>
      <c r="AN19" s="64">
        <v>2.564102564102564E-2</v>
      </c>
      <c r="AO19" s="64">
        <v>2.564102564102564E-2</v>
      </c>
      <c r="AP19" s="64">
        <v>2.564102564102564E-2</v>
      </c>
      <c r="AQ19" s="64">
        <v>2.564102564102564E-2</v>
      </c>
    </row>
    <row r="20" spans="1:43" x14ac:dyDescent="0.25">
      <c r="B20" s="106" t="s">
        <v>15</v>
      </c>
      <c r="C20" s="73">
        <f>SUM(C16:C19)</f>
        <v>1</v>
      </c>
      <c r="D20" s="73"/>
      <c r="E20" s="73">
        <f t="shared" ref="E20:AQ20" si="0">SUMPRODUCT(E16:E19,$C$16:$C$19)</f>
        <v>0.18475641025641029</v>
      </c>
      <c r="F20" s="73">
        <f t="shared" si="0"/>
        <v>0.29590641025641029</v>
      </c>
      <c r="G20" s="73">
        <f t="shared" si="0"/>
        <v>0.18004141025641027</v>
      </c>
      <c r="H20" s="73">
        <f t="shared" si="0"/>
        <v>0.11032641025641025</v>
      </c>
      <c r="I20" s="73">
        <f t="shared" si="0"/>
        <v>0.10978741025641024</v>
      </c>
      <c r="J20" s="73">
        <f>SUMPRODUCT(J16:J19,$C$16:$C$19)</f>
        <v>5.7457410256410262E-2</v>
      </c>
      <c r="K20" s="73">
        <f t="shared" si="0"/>
        <v>5.3864102564102562E-3</v>
      </c>
      <c r="L20" s="73">
        <f t="shared" si="0"/>
        <v>5.3864102564102562E-3</v>
      </c>
      <c r="M20" s="73">
        <f t="shared" si="0"/>
        <v>5.3934102564102563E-3</v>
      </c>
      <c r="N20" s="73">
        <f t="shared" si="0"/>
        <v>5.3864102564102562E-3</v>
      </c>
      <c r="O20" s="73">
        <f t="shared" si="0"/>
        <v>5.3934102564102563E-3</v>
      </c>
      <c r="P20" s="73">
        <f t="shared" si="0"/>
        <v>5.3864102564102562E-3</v>
      </c>
      <c r="Q20" s="73">
        <f t="shared" si="0"/>
        <v>5.3934102564102563E-3</v>
      </c>
      <c r="R20" s="73">
        <f t="shared" si="0"/>
        <v>5.3864102564102562E-3</v>
      </c>
      <c r="S20" s="73">
        <f t="shared" si="0"/>
        <v>5.3934102564102563E-3</v>
      </c>
      <c r="T20" s="73">
        <f t="shared" si="0"/>
        <v>3.3214102564102562E-3</v>
      </c>
      <c r="U20" s="73">
        <f t="shared" si="0"/>
        <v>1.2564102564102564E-3</v>
      </c>
      <c r="V20" s="73">
        <f t="shared" si="0"/>
        <v>1.2564102564102564E-3</v>
      </c>
      <c r="W20" s="73">
        <f t="shared" si="0"/>
        <v>1.2564102564102564E-3</v>
      </c>
      <c r="X20" s="73">
        <f t="shared" si="0"/>
        <v>1.2564102564102564E-3</v>
      </c>
      <c r="Y20" s="73">
        <f t="shared" si="0"/>
        <v>2.5641025641025641E-4</v>
      </c>
      <c r="Z20" s="73">
        <f t="shared" si="0"/>
        <v>2.5641025641025641E-4</v>
      </c>
      <c r="AA20" s="73">
        <f t="shared" si="0"/>
        <v>2.5641025641025641E-4</v>
      </c>
      <c r="AB20" s="73">
        <f t="shared" si="0"/>
        <v>2.5641025641025641E-4</v>
      </c>
      <c r="AC20" s="73">
        <f t="shared" si="0"/>
        <v>2.5641025641025641E-4</v>
      </c>
      <c r="AD20" s="73">
        <f t="shared" si="0"/>
        <v>2.5641025641025641E-4</v>
      </c>
      <c r="AE20" s="73">
        <f t="shared" si="0"/>
        <v>2.5641025641025641E-4</v>
      </c>
      <c r="AF20" s="73">
        <f t="shared" si="0"/>
        <v>2.5641025641025641E-4</v>
      </c>
      <c r="AG20" s="73">
        <f t="shared" si="0"/>
        <v>2.5641025641025641E-4</v>
      </c>
      <c r="AH20" s="73">
        <f t="shared" si="0"/>
        <v>2.5641025641025641E-4</v>
      </c>
      <c r="AI20" s="73">
        <f t="shared" si="0"/>
        <v>2.5641025641025641E-4</v>
      </c>
      <c r="AJ20" s="73">
        <f t="shared" si="0"/>
        <v>2.5641025641025641E-4</v>
      </c>
      <c r="AK20" s="73">
        <f t="shared" si="0"/>
        <v>2.5641025641025641E-4</v>
      </c>
      <c r="AL20" s="73">
        <f t="shared" si="0"/>
        <v>2.5641025641025641E-4</v>
      </c>
      <c r="AM20" s="73">
        <f t="shared" si="0"/>
        <v>2.5641025641025641E-4</v>
      </c>
      <c r="AN20" s="73">
        <f t="shared" si="0"/>
        <v>2.5641025641025641E-4</v>
      </c>
      <c r="AO20" s="73">
        <f t="shared" si="0"/>
        <v>2.5641025641025641E-4</v>
      </c>
      <c r="AP20" s="73">
        <f t="shared" si="0"/>
        <v>2.5641025641025641E-4</v>
      </c>
      <c r="AQ20" s="73">
        <f t="shared" si="0"/>
        <v>2.5641025641025641E-4</v>
      </c>
    </row>
    <row r="22" spans="1:43" x14ac:dyDescent="0.25">
      <c r="B22" s="101" t="s">
        <v>156</v>
      </c>
      <c r="C22" s="20"/>
      <c r="E22" s="20">
        <f>Depreciation!E$20*Depreciation!$C6</f>
        <v>67731.145730769233</v>
      </c>
      <c r="F22" s="20">
        <f>Depreciation!F$20*Depreciation!$C6</f>
        <v>108478.40228076922</v>
      </c>
      <c r="G22" s="20">
        <f>Depreciation!G$20*Depreciation!$C6</f>
        <v>66002.640875769226</v>
      </c>
      <c r="H22" s="20">
        <f>Depreciation!H$20*Depreciation!$C6</f>
        <v>40445.331020769227</v>
      </c>
      <c r="I22" s="20">
        <f>Depreciation!I$20*Depreciation!$C6</f>
        <v>40247.735237769222</v>
      </c>
      <c r="J22" s="20">
        <f>Depreciation!J$20*Depreciation!$C6</f>
        <v>21063.714227769229</v>
      </c>
      <c r="K22" s="20">
        <f>Depreciation!K$20*Depreciation!$C6</f>
        <v>1974.6418407692304</v>
      </c>
      <c r="L22" s="20">
        <f>Depreciation!L$20*Depreciation!$C6</f>
        <v>1974.6418407692304</v>
      </c>
      <c r="M22" s="20">
        <f>Depreciation!M$20*Depreciation!$C6</f>
        <v>1977.2080197692303</v>
      </c>
      <c r="N22" s="20">
        <f>Depreciation!N$20*Depreciation!$C6</f>
        <v>1974.6418407692304</v>
      </c>
      <c r="O22" s="20">
        <f>Depreciation!O$20*Depreciation!$C6</f>
        <v>1977.2080197692303</v>
      </c>
      <c r="P22" s="20">
        <f>Depreciation!P$20*Depreciation!$C6</f>
        <v>1974.6418407692304</v>
      </c>
      <c r="Q22" s="20">
        <f>Depreciation!Q$20*Depreciation!$C6</f>
        <v>1977.2080197692303</v>
      </c>
      <c r="R22" s="20">
        <f>Depreciation!R$20*Depreciation!$C6</f>
        <v>1974.6418407692304</v>
      </c>
      <c r="S22" s="20">
        <f>Depreciation!S$20*Depreciation!$C6</f>
        <v>1977.2080197692303</v>
      </c>
      <c r="T22" s="20">
        <f>Depreciation!T$20*Depreciation!$C6</f>
        <v>1217.6190357692305</v>
      </c>
      <c r="U22" s="20">
        <f>Depreciation!U$20*Depreciation!$C6</f>
        <v>460.59623076923071</v>
      </c>
      <c r="V22" s="20">
        <f>Depreciation!V$20*Depreciation!$C6</f>
        <v>460.59623076923071</v>
      </c>
      <c r="W22" s="20">
        <f>Depreciation!W$20*Depreciation!$C6</f>
        <v>460.59623076923071</v>
      </c>
      <c r="X22" s="20">
        <f>Depreciation!X$20*Depreciation!$C6</f>
        <v>460.59623076923071</v>
      </c>
      <c r="Y22" s="20">
        <f>Depreciation!Y$20*Depreciation!$C6</f>
        <v>93.999230769230749</v>
      </c>
      <c r="Z22" s="20">
        <f>Depreciation!Z$20*Depreciation!$C6</f>
        <v>93.999230769230749</v>
      </c>
      <c r="AA22" s="20">
        <f>Depreciation!AA$20*Depreciation!$C6</f>
        <v>93.999230769230749</v>
      </c>
      <c r="AB22" s="20">
        <f>Depreciation!AB$20*Depreciation!$C6</f>
        <v>93.999230769230749</v>
      </c>
      <c r="AC22" s="20">
        <f>Depreciation!AC$20*Depreciation!$C6</f>
        <v>93.999230769230749</v>
      </c>
      <c r="AD22" s="20">
        <f>Depreciation!AD$20*Depreciation!$C6</f>
        <v>93.999230769230749</v>
      </c>
      <c r="AE22" s="20">
        <f>Depreciation!AE$20*Depreciation!$C6</f>
        <v>93.999230769230749</v>
      </c>
      <c r="AF22" s="20">
        <f>Depreciation!AF$20*Depreciation!$C6</f>
        <v>93.999230769230749</v>
      </c>
      <c r="AG22" s="20">
        <f>Depreciation!AG$20*Depreciation!$C6</f>
        <v>93.999230769230749</v>
      </c>
      <c r="AH22" s="20">
        <f>Depreciation!AH$20*Depreciation!$C6</f>
        <v>93.999230769230749</v>
      </c>
      <c r="AI22" s="20">
        <f>Depreciation!AI$20*Depreciation!$C6</f>
        <v>93.999230769230749</v>
      </c>
      <c r="AJ22" s="20">
        <f>Depreciation!AJ$20*Depreciation!$C6</f>
        <v>93.999230769230749</v>
      </c>
      <c r="AK22" s="20">
        <f>Depreciation!AK$20*Depreciation!$C6</f>
        <v>93.999230769230749</v>
      </c>
      <c r="AL22" s="20">
        <f>Depreciation!AL$20*Depreciation!$C6</f>
        <v>93.999230769230749</v>
      </c>
      <c r="AM22" s="20">
        <f>Depreciation!AM$20*Depreciation!$C6</f>
        <v>93.999230769230749</v>
      </c>
      <c r="AN22" s="20">
        <f>Depreciation!AN$20*Depreciation!$C6</f>
        <v>93.999230769230749</v>
      </c>
      <c r="AO22" s="20">
        <f>Depreciation!AO$20*Depreciation!$C6</f>
        <v>93.999230769230749</v>
      </c>
      <c r="AP22" s="20">
        <f>Depreciation!AP$20*Depreciation!$C6</f>
        <v>93.999230769230749</v>
      </c>
      <c r="AQ22" s="20">
        <f>Depreciation!AQ$20*Depreciation!$C6</f>
        <v>93.999230769230749</v>
      </c>
    </row>
    <row r="23" spans="1:43" x14ac:dyDescent="0.25">
      <c r="B23" s="101" t="s">
        <v>157</v>
      </c>
      <c r="C23" s="20"/>
      <c r="E23" s="20">
        <f>Depreciation!E$20*Depreciation!$C7</f>
        <v>58896.648461538462</v>
      </c>
      <c r="F23" s="20">
        <f>Depreciation!F$20*Depreciation!$C7</f>
        <v>94329.045461538451</v>
      </c>
      <c r="G23" s="20">
        <f>Depreciation!G$20*Depreciation!$C7</f>
        <v>57393.600761538451</v>
      </c>
      <c r="H23" s="20">
        <f>Depreciation!H$20*Depreciation!$C7</f>
        <v>35169.853061538452</v>
      </c>
      <c r="I23" s="20">
        <f>Depreciation!I$20*Depreciation!$C7</f>
        <v>34998.030641538448</v>
      </c>
      <c r="J23" s="20">
        <f>Depreciation!J$20*Depreciation!$C7</f>
        <v>18316.27324153846</v>
      </c>
      <c r="K23" s="20">
        <f>Depreciation!K$20*Depreciation!$C7</f>
        <v>1717.079861538461</v>
      </c>
      <c r="L23" s="20">
        <f>Depreciation!L$20*Depreciation!$C7</f>
        <v>1717.079861538461</v>
      </c>
      <c r="M23" s="20">
        <f>Depreciation!M$20*Depreciation!$C7</f>
        <v>1719.3113215384612</v>
      </c>
      <c r="N23" s="20">
        <f>Depreciation!N$20*Depreciation!$C7</f>
        <v>1717.079861538461</v>
      </c>
      <c r="O23" s="20">
        <f>Depreciation!O$20*Depreciation!$C7</f>
        <v>1719.3113215384612</v>
      </c>
      <c r="P23" s="20">
        <f>Depreciation!P$20*Depreciation!$C7</f>
        <v>1717.079861538461</v>
      </c>
      <c r="Q23" s="20">
        <f>Depreciation!Q$20*Depreciation!$C7</f>
        <v>1719.3113215384612</v>
      </c>
      <c r="R23" s="20">
        <f>Depreciation!R$20*Depreciation!$C7</f>
        <v>1717.079861538461</v>
      </c>
      <c r="S23" s="20">
        <f>Depreciation!S$20*Depreciation!$C7</f>
        <v>1719.3113215384612</v>
      </c>
      <c r="T23" s="20">
        <f>Depreciation!T$20*Depreciation!$C7</f>
        <v>1058.7991615384612</v>
      </c>
      <c r="U23" s="20">
        <f>Depreciation!U$20*Depreciation!$C7</f>
        <v>400.51846153846145</v>
      </c>
      <c r="V23" s="20">
        <f>Depreciation!V$20*Depreciation!$C7</f>
        <v>400.51846153846145</v>
      </c>
      <c r="W23" s="20">
        <f>Depreciation!W$20*Depreciation!$C7</f>
        <v>400.51846153846145</v>
      </c>
      <c r="X23" s="20">
        <f>Depreciation!X$20*Depreciation!$C7</f>
        <v>400.51846153846145</v>
      </c>
      <c r="Y23" s="20">
        <f>Depreciation!Y$20*Depreciation!$C7</f>
        <v>81.738461538461522</v>
      </c>
      <c r="Z23" s="20">
        <f>Depreciation!Z$20*Depreciation!$C7</f>
        <v>81.738461538461522</v>
      </c>
      <c r="AA23" s="20">
        <f>Depreciation!AA$20*Depreciation!$C7</f>
        <v>81.738461538461522</v>
      </c>
      <c r="AB23" s="20">
        <f>Depreciation!AB$20*Depreciation!$C7</f>
        <v>81.738461538461522</v>
      </c>
      <c r="AC23" s="20">
        <f>Depreciation!AC$20*Depreciation!$C7</f>
        <v>81.738461538461522</v>
      </c>
      <c r="AD23" s="20">
        <f>Depreciation!AD$20*Depreciation!$C7</f>
        <v>81.738461538461522</v>
      </c>
      <c r="AE23" s="20">
        <f>Depreciation!AE$20*Depreciation!$C7</f>
        <v>81.738461538461522</v>
      </c>
      <c r="AF23" s="20">
        <f>Depreciation!AF$20*Depreciation!$C7</f>
        <v>81.738461538461522</v>
      </c>
      <c r="AG23" s="20">
        <f>Depreciation!AG$20*Depreciation!$C7</f>
        <v>81.738461538461522</v>
      </c>
      <c r="AH23" s="20">
        <f>Depreciation!AH$20*Depreciation!$C7</f>
        <v>81.738461538461522</v>
      </c>
      <c r="AI23" s="20">
        <f>Depreciation!AI$20*Depreciation!$C7</f>
        <v>81.738461538461522</v>
      </c>
      <c r="AJ23" s="20">
        <f>Depreciation!AJ$20*Depreciation!$C7</f>
        <v>81.738461538461522</v>
      </c>
      <c r="AK23" s="20">
        <f>Depreciation!AK$20*Depreciation!$C7</f>
        <v>81.738461538461522</v>
      </c>
      <c r="AL23" s="20">
        <f>Depreciation!AL$20*Depreciation!$C7</f>
        <v>81.738461538461522</v>
      </c>
      <c r="AM23" s="20">
        <f>Depreciation!AM$20*Depreciation!$C7</f>
        <v>81.738461538461522</v>
      </c>
      <c r="AN23" s="20">
        <f>Depreciation!AN$20*Depreciation!$C7</f>
        <v>81.738461538461522</v>
      </c>
      <c r="AO23" s="20">
        <f>Depreciation!AO$20*Depreciation!$C7</f>
        <v>81.738461538461522</v>
      </c>
      <c r="AP23" s="20">
        <f>Depreciation!AP$20*Depreciation!$C7</f>
        <v>81.738461538461522</v>
      </c>
      <c r="AQ23" s="20">
        <f>Depreciation!AQ$20*Depreciation!$C7</f>
        <v>81.738461538461522</v>
      </c>
    </row>
    <row r="24" spans="1:43" x14ac:dyDescent="0.25">
      <c r="B24" s="101" t="s">
        <v>158</v>
      </c>
      <c r="C24" s="20"/>
      <c r="E24" s="20">
        <f>Depreciation!E$20*Depreciation!$C8</f>
        <v>63031.226586618825</v>
      </c>
      <c r="F24" s="20">
        <f>Depreciation!F$20*Depreciation!$C8</f>
        <v>100950.99795141025</v>
      </c>
      <c r="G24" s="20">
        <f>Depreciation!G$20*Depreciation!$C8</f>
        <v>61422.664085629243</v>
      </c>
      <c r="H24" s="20">
        <f>Depreciation!H$20*Depreciation!$C8</f>
        <v>37638.796692948774</v>
      </c>
      <c r="I24" s="20">
        <f>Depreciation!I$20*Depreciation!$C8</f>
        <v>37454.912241616134</v>
      </c>
      <c r="J24" s="20">
        <f>Depreciation!J$20*Depreciation!$C8</f>
        <v>19602.086011120995</v>
      </c>
      <c r="K24" s="20">
        <f>Depreciation!K$20*Depreciation!$C8</f>
        <v>1837.6198416558204</v>
      </c>
      <c r="L24" s="20">
        <f>Depreciation!L$20*Depreciation!$C8</f>
        <v>1837.6198416558204</v>
      </c>
      <c r="M24" s="20">
        <f>Depreciation!M$20*Depreciation!$C8</f>
        <v>1840.0079514133872</v>
      </c>
      <c r="N24" s="20">
        <f>Depreciation!N$20*Depreciation!$C8</f>
        <v>1837.6198416558204</v>
      </c>
      <c r="O24" s="20">
        <f>Depreciation!O$20*Depreciation!$C8</f>
        <v>1840.0079514133872</v>
      </c>
      <c r="P24" s="20">
        <f>Depreciation!P$20*Depreciation!$C8</f>
        <v>1837.6198416558204</v>
      </c>
      <c r="Q24" s="20">
        <f>Depreciation!Q$20*Depreciation!$C8</f>
        <v>1840.0079514133872</v>
      </c>
      <c r="R24" s="20">
        <f>Depreciation!R$20*Depreciation!$C8</f>
        <v>1837.6198416558204</v>
      </c>
      <c r="S24" s="20">
        <f>Depreciation!S$20*Depreciation!$C8</f>
        <v>1840.0079514133872</v>
      </c>
      <c r="T24" s="20">
        <f>Depreciation!T$20*Depreciation!$C8</f>
        <v>1133.1274631736405</v>
      </c>
      <c r="U24" s="20">
        <f>Depreciation!U$20*Depreciation!$C8</f>
        <v>428.63508469146097</v>
      </c>
      <c r="V24" s="20">
        <f>Depreciation!V$20*Depreciation!$C8</f>
        <v>428.63508469146097</v>
      </c>
      <c r="W24" s="20">
        <f>Depreciation!W$20*Depreciation!$C8</f>
        <v>428.63508469146097</v>
      </c>
      <c r="X24" s="20">
        <f>Depreciation!X$20*Depreciation!$C8</f>
        <v>428.63508469146097</v>
      </c>
      <c r="Y24" s="20">
        <f>Depreciation!Y$20*Depreciation!$C8</f>
        <v>87.476547896216516</v>
      </c>
      <c r="Z24" s="20">
        <f>Depreciation!Z$20*Depreciation!$C8</f>
        <v>87.476547896216516</v>
      </c>
      <c r="AA24" s="20">
        <f>Depreciation!AA$20*Depreciation!$C8</f>
        <v>87.476547896216516</v>
      </c>
      <c r="AB24" s="20">
        <f>Depreciation!AB$20*Depreciation!$C8</f>
        <v>87.476547896216516</v>
      </c>
      <c r="AC24" s="20">
        <f>Depreciation!AC$20*Depreciation!$C8</f>
        <v>87.476547896216516</v>
      </c>
      <c r="AD24" s="20">
        <f>Depreciation!AD$20*Depreciation!$C8</f>
        <v>87.476547896216516</v>
      </c>
      <c r="AE24" s="20">
        <f>Depreciation!AE$20*Depreciation!$C8</f>
        <v>87.476547896216516</v>
      </c>
      <c r="AF24" s="20">
        <f>Depreciation!AF$20*Depreciation!$C8</f>
        <v>87.476547896216516</v>
      </c>
      <c r="AG24" s="20">
        <f>Depreciation!AG$20*Depreciation!$C8</f>
        <v>87.476547896216516</v>
      </c>
      <c r="AH24" s="20">
        <f>Depreciation!AH$20*Depreciation!$C8</f>
        <v>87.476547896216516</v>
      </c>
      <c r="AI24" s="20">
        <f>Depreciation!AI$20*Depreciation!$C8</f>
        <v>87.476547896216516</v>
      </c>
      <c r="AJ24" s="20">
        <f>Depreciation!AJ$20*Depreciation!$C8</f>
        <v>87.476547896216516</v>
      </c>
      <c r="AK24" s="20">
        <f>Depreciation!AK$20*Depreciation!$C8</f>
        <v>87.476547896216516</v>
      </c>
      <c r="AL24" s="20">
        <f>Depreciation!AL$20*Depreciation!$C8</f>
        <v>87.476547896216516</v>
      </c>
      <c r="AM24" s="20">
        <f>Depreciation!AM$20*Depreciation!$C8</f>
        <v>87.476547896216516</v>
      </c>
      <c r="AN24" s="20">
        <f>Depreciation!AN$20*Depreciation!$C8</f>
        <v>87.476547896216516</v>
      </c>
      <c r="AO24" s="20">
        <f>Depreciation!AO$20*Depreciation!$C8</f>
        <v>87.476547896216516</v>
      </c>
      <c r="AP24" s="20">
        <f>Depreciation!AP$20*Depreciation!$C8</f>
        <v>87.476547896216516</v>
      </c>
      <c r="AQ24" s="20">
        <f>Depreciation!AQ$20*Depreciation!$C8</f>
        <v>87.476547896216516</v>
      </c>
    </row>
    <row r="26" spans="1:43" x14ac:dyDescent="0.25">
      <c r="B26" s="101" t="s">
        <v>155</v>
      </c>
      <c r="C26" s="20"/>
      <c r="E26" s="20">
        <f t="shared" ref="E26:AQ26" si="1">E22-E24</f>
        <v>4699.9191441504081</v>
      </c>
      <c r="F26" s="20">
        <f t="shared" si="1"/>
        <v>7527.4043293589784</v>
      </c>
      <c r="G26" s="20">
        <f t="shared" si="1"/>
        <v>4579.9767901399828</v>
      </c>
      <c r="H26" s="20">
        <f t="shared" si="1"/>
        <v>2806.5343278204527</v>
      </c>
      <c r="I26" s="20">
        <f t="shared" si="1"/>
        <v>2792.8229961530888</v>
      </c>
      <c r="J26" s="20">
        <f t="shared" si="1"/>
        <v>1461.6282166482342</v>
      </c>
      <c r="K26" s="20">
        <f t="shared" si="1"/>
        <v>137.02199911340995</v>
      </c>
      <c r="L26" s="20">
        <f t="shared" si="1"/>
        <v>137.02199911340995</v>
      </c>
      <c r="M26" s="20">
        <f t="shared" si="1"/>
        <v>137.20006835584309</v>
      </c>
      <c r="N26" s="20">
        <f t="shared" si="1"/>
        <v>137.02199911340995</v>
      </c>
      <c r="O26" s="20">
        <f t="shared" si="1"/>
        <v>137.20006835584309</v>
      </c>
      <c r="P26" s="20">
        <f t="shared" si="1"/>
        <v>137.02199911340995</v>
      </c>
      <c r="Q26" s="20">
        <f t="shared" si="1"/>
        <v>137.20006835584309</v>
      </c>
      <c r="R26" s="20">
        <f t="shared" si="1"/>
        <v>137.02199911340995</v>
      </c>
      <c r="S26" s="20">
        <f t="shared" si="1"/>
        <v>137.20006835584309</v>
      </c>
      <c r="T26" s="20">
        <f t="shared" si="1"/>
        <v>84.491572595590014</v>
      </c>
      <c r="U26" s="20">
        <f t="shared" si="1"/>
        <v>31.96114607776974</v>
      </c>
      <c r="V26" s="20">
        <f t="shared" si="1"/>
        <v>31.96114607776974</v>
      </c>
      <c r="W26" s="20">
        <f t="shared" si="1"/>
        <v>31.96114607776974</v>
      </c>
      <c r="X26" s="20">
        <f t="shared" si="1"/>
        <v>31.96114607776974</v>
      </c>
      <c r="Y26" s="20">
        <f t="shared" si="1"/>
        <v>6.522682873014233</v>
      </c>
      <c r="Z26" s="20">
        <f t="shared" si="1"/>
        <v>6.522682873014233</v>
      </c>
      <c r="AA26" s="20">
        <f t="shared" si="1"/>
        <v>6.522682873014233</v>
      </c>
      <c r="AB26" s="20">
        <f t="shared" si="1"/>
        <v>6.522682873014233</v>
      </c>
      <c r="AC26" s="20">
        <f t="shared" si="1"/>
        <v>6.522682873014233</v>
      </c>
      <c r="AD26" s="20">
        <f t="shared" si="1"/>
        <v>6.522682873014233</v>
      </c>
      <c r="AE26" s="20">
        <f t="shared" si="1"/>
        <v>6.522682873014233</v>
      </c>
      <c r="AF26" s="20">
        <f t="shared" si="1"/>
        <v>6.522682873014233</v>
      </c>
      <c r="AG26" s="20">
        <f t="shared" si="1"/>
        <v>6.522682873014233</v>
      </c>
      <c r="AH26" s="20">
        <f t="shared" si="1"/>
        <v>6.522682873014233</v>
      </c>
      <c r="AI26" s="20">
        <f t="shared" si="1"/>
        <v>6.522682873014233</v>
      </c>
      <c r="AJ26" s="20">
        <f t="shared" si="1"/>
        <v>6.522682873014233</v>
      </c>
      <c r="AK26" s="20">
        <f t="shared" si="1"/>
        <v>6.522682873014233</v>
      </c>
      <c r="AL26" s="20">
        <f t="shared" si="1"/>
        <v>6.522682873014233</v>
      </c>
      <c r="AM26" s="20">
        <f t="shared" si="1"/>
        <v>6.522682873014233</v>
      </c>
      <c r="AN26" s="20">
        <f t="shared" si="1"/>
        <v>6.522682873014233</v>
      </c>
      <c r="AO26" s="20">
        <f t="shared" si="1"/>
        <v>6.522682873014233</v>
      </c>
      <c r="AP26" s="20">
        <f t="shared" si="1"/>
        <v>6.522682873014233</v>
      </c>
      <c r="AQ26" s="20">
        <f t="shared" si="1"/>
        <v>6.522682873014233</v>
      </c>
    </row>
    <row r="28" spans="1:43" outlineLevel="1" x14ac:dyDescent="0.25">
      <c r="A28" s="35"/>
      <c r="B28" s="35" t="s">
        <v>183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</row>
    <row r="29" spans="1:43" outlineLevel="1" x14ac:dyDescent="0.25">
      <c r="A29" s="77"/>
      <c r="B29" s="77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6"/>
    </row>
    <row r="30" spans="1:43" outlineLevel="1" x14ac:dyDescent="0.25">
      <c r="B30" s="2" t="s">
        <v>47</v>
      </c>
      <c r="C30" s="70">
        <f>Assumptions!D19</f>
        <v>318779.99999999994</v>
      </c>
    </row>
    <row r="31" spans="1:43" outlineLevel="1" x14ac:dyDescent="0.25"/>
    <row r="32" spans="1:43" outlineLevel="1" x14ac:dyDescent="0.25">
      <c r="B32" s="94"/>
      <c r="C32" s="94" t="s">
        <v>46</v>
      </c>
      <c r="D32" s="104" t="s">
        <v>15</v>
      </c>
      <c r="E32" s="104">
        <v>1</v>
      </c>
      <c r="F32" s="104">
        <f>E32+1</f>
        <v>2</v>
      </c>
      <c r="G32" s="104">
        <f t="shared" ref="G32:AQ32" si="2">F32+1</f>
        <v>3</v>
      </c>
      <c r="H32" s="104">
        <f t="shared" si="2"/>
        <v>4</v>
      </c>
      <c r="I32" s="104">
        <f t="shared" si="2"/>
        <v>5</v>
      </c>
      <c r="J32" s="104">
        <f t="shared" si="2"/>
        <v>6</v>
      </c>
      <c r="K32" s="104">
        <f t="shared" si="2"/>
        <v>7</v>
      </c>
      <c r="L32" s="104">
        <f t="shared" si="2"/>
        <v>8</v>
      </c>
      <c r="M32" s="104">
        <f t="shared" si="2"/>
        <v>9</v>
      </c>
      <c r="N32" s="104">
        <f t="shared" si="2"/>
        <v>10</v>
      </c>
      <c r="O32" s="104">
        <f t="shared" si="2"/>
        <v>11</v>
      </c>
      <c r="P32" s="104">
        <f t="shared" si="2"/>
        <v>12</v>
      </c>
      <c r="Q32" s="104">
        <f t="shared" si="2"/>
        <v>13</v>
      </c>
      <c r="R32" s="104">
        <f t="shared" si="2"/>
        <v>14</v>
      </c>
      <c r="S32" s="104">
        <f t="shared" si="2"/>
        <v>15</v>
      </c>
      <c r="T32" s="104">
        <f t="shared" si="2"/>
        <v>16</v>
      </c>
      <c r="U32" s="104">
        <f t="shared" si="2"/>
        <v>17</v>
      </c>
      <c r="V32" s="104">
        <f t="shared" si="2"/>
        <v>18</v>
      </c>
      <c r="W32" s="104">
        <f t="shared" si="2"/>
        <v>19</v>
      </c>
      <c r="X32" s="104">
        <f t="shared" si="2"/>
        <v>20</v>
      </c>
      <c r="Y32" s="104">
        <f t="shared" si="2"/>
        <v>21</v>
      </c>
      <c r="Z32" s="104">
        <f t="shared" si="2"/>
        <v>22</v>
      </c>
      <c r="AA32" s="104">
        <f t="shared" si="2"/>
        <v>23</v>
      </c>
      <c r="AB32" s="104">
        <f t="shared" si="2"/>
        <v>24</v>
      </c>
      <c r="AC32" s="104">
        <f t="shared" si="2"/>
        <v>25</v>
      </c>
      <c r="AD32" s="104">
        <f t="shared" si="2"/>
        <v>26</v>
      </c>
      <c r="AE32" s="104">
        <f t="shared" si="2"/>
        <v>27</v>
      </c>
      <c r="AF32" s="104">
        <f t="shared" si="2"/>
        <v>28</v>
      </c>
      <c r="AG32" s="104">
        <f t="shared" si="2"/>
        <v>29</v>
      </c>
      <c r="AH32" s="104">
        <f t="shared" si="2"/>
        <v>30</v>
      </c>
      <c r="AI32" s="104">
        <f t="shared" si="2"/>
        <v>31</v>
      </c>
      <c r="AJ32" s="104">
        <f t="shared" si="2"/>
        <v>32</v>
      </c>
      <c r="AK32" s="104">
        <f t="shared" si="2"/>
        <v>33</v>
      </c>
      <c r="AL32" s="104">
        <f t="shared" si="2"/>
        <v>34</v>
      </c>
      <c r="AM32" s="104">
        <f t="shared" si="2"/>
        <v>35</v>
      </c>
      <c r="AN32" s="104">
        <f t="shared" si="2"/>
        <v>36</v>
      </c>
      <c r="AO32" s="104">
        <f t="shared" si="2"/>
        <v>37</v>
      </c>
      <c r="AP32" s="104">
        <f t="shared" si="2"/>
        <v>38</v>
      </c>
      <c r="AQ32" s="104">
        <f t="shared" si="2"/>
        <v>39</v>
      </c>
    </row>
    <row r="33" spans="1:43" outlineLevel="1" x14ac:dyDescent="0.25">
      <c r="B33" s="91" t="s">
        <v>43</v>
      </c>
      <c r="C33" s="99">
        <v>0.9</v>
      </c>
      <c r="D33" s="71">
        <f>SUM(E33:AQ33)</f>
        <v>0.99999999999999989</v>
      </c>
      <c r="E33" s="55">
        <v>0.2</v>
      </c>
      <c r="F33" s="55">
        <v>0.32</v>
      </c>
      <c r="G33" s="55">
        <v>0.192</v>
      </c>
      <c r="H33" s="55">
        <v>0.1152</v>
      </c>
      <c r="I33" s="55">
        <v>0.1152</v>
      </c>
      <c r="J33" s="55">
        <v>5.7599999999999998E-2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outlineLevel="1" x14ac:dyDescent="0.25">
      <c r="B34" s="91" t="s">
        <v>44</v>
      </c>
      <c r="C34" s="99">
        <v>7.0000000000000007E-2</v>
      </c>
      <c r="D34" s="71">
        <f>SUM(E34:AQ34)</f>
        <v>1.0000000000000002</v>
      </c>
      <c r="E34" s="55">
        <v>0.05</v>
      </c>
      <c r="F34" s="55">
        <v>9.5000000000000001E-2</v>
      </c>
      <c r="G34" s="55">
        <v>8.5500000000000007E-2</v>
      </c>
      <c r="H34" s="55">
        <v>7.6999999999999999E-2</v>
      </c>
      <c r="I34" s="55">
        <v>6.93E-2</v>
      </c>
      <c r="J34" s="55">
        <v>6.2300000000000001E-2</v>
      </c>
      <c r="K34" s="55">
        <v>5.8999999999999997E-2</v>
      </c>
      <c r="L34" s="55">
        <v>5.8999999999999997E-2</v>
      </c>
      <c r="M34" s="55">
        <v>5.91E-2</v>
      </c>
      <c r="N34" s="55">
        <v>5.8999999999999997E-2</v>
      </c>
      <c r="O34" s="55">
        <v>5.91E-2</v>
      </c>
      <c r="P34" s="55">
        <v>5.8999999999999997E-2</v>
      </c>
      <c r="Q34" s="55">
        <v>5.91E-2</v>
      </c>
      <c r="R34" s="55">
        <v>5.8999999999999997E-2</v>
      </c>
      <c r="S34" s="55">
        <v>5.91E-2</v>
      </c>
      <c r="T34" s="55">
        <v>2.9499999999999998E-2</v>
      </c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outlineLevel="1" x14ac:dyDescent="0.25">
      <c r="B35" s="91" t="s">
        <v>207</v>
      </c>
      <c r="C35" s="99">
        <v>0.02</v>
      </c>
      <c r="D35" s="71">
        <f>SUM(E35:AQ35)</f>
        <v>1.0000000000000002</v>
      </c>
      <c r="E35" s="55">
        <v>0.05</v>
      </c>
      <c r="F35" s="55">
        <v>0.05</v>
      </c>
      <c r="G35" s="55">
        <v>0.05</v>
      </c>
      <c r="H35" s="55">
        <v>0.05</v>
      </c>
      <c r="I35" s="55">
        <v>0.05</v>
      </c>
      <c r="J35" s="55">
        <v>0.05</v>
      </c>
      <c r="K35" s="55">
        <v>0.05</v>
      </c>
      <c r="L35" s="55">
        <v>0.05</v>
      </c>
      <c r="M35" s="55">
        <v>0.05</v>
      </c>
      <c r="N35" s="55">
        <v>0.05</v>
      </c>
      <c r="O35" s="55">
        <v>0.05</v>
      </c>
      <c r="P35" s="55">
        <v>0.05</v>
      </c>
      <c r="Q35" s="55">
        <v>0.05</v>
      </c>
      <c r="R35" s="55">
        <v>0.05</v>
      </c>
      <c r="S35" s="55">
        <v>0.05</v>
      </c>
      <c r="T35" s="55">
        <v>0.05</v>
      </c>
      <c r="U35" s="55">
        <v>0.05</v>
      </c>
      <c r="V35" s="55">
        <v>0.05</v>
      </c>
      <c r="W35" s="55">
        <v>0.05</v>
      </c>
      <c r="X35" s="55">
        <v>0.05</v>
      </c>
      <c r="Y35" s="55"/>
      <c r="Z35" s="55"/>
      <c r="AA35" s="55"/>
      <c r="AB35" s="55"/>
      <c r="AC35" s="55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outlineLevel="1" x14ac:dyDescent="0.25">
      <c r="B36" s="92" t="s">
        <v>45</v>
      </c>
      <c r="C36" s="105">
        <v>0.01</v>
      </c>
      <c r="D36" s="72">
        <f>SUM(E36:AQ36)</f>
        <v>1.0000000000000004</v>
      </c>
      <c r="E36" s="64">
        <v>2.564102564102564E-2</v>
      </c>
      <c r="F36" s="64">
        <v>2.564102564102564E-2</v>
      </c>
      <c r="G36" s="64">
        <v>2.564102564102564E-2</v>
      </c>
      <c r="H36" s="64">
        <v>2.564102564102564E-2</v>
      </c>
      <c r="I36" s="64">
        <v>2.564102564102564E-2</v>
      </c>
      <c r="J36" s="64">
        <v>2.564102564102564E-2</v>
      </c>
      <c r="K36" s="64">
        <v>2.564102564102564E-2</v>
      </c>
      <c r="L36" s="64">
        <v>2.564102564102564E-2</v>
      </c>
      <c r="M36" s="64">
        <v>2.564102564102564E-2</v>
      </c>
      <c r="N36" s="64">
        <v>2.564102564102564E-2</v>
      </c>
      <c r="O36" s="64">
        <v>2.564102564102564E-2</v>
      </c>
      <c r="P36" s="64">
        <v>2.564102564102564E-2</v>
      </c>
      <c r="Q36" s="64">
        <v>2.564102564102564E-2</v>
      </c>
      <c r="R36" s="64">
        <v>2.564102564102564E-2</v>
      </c>
      <c r="S36" s="64">
        <v>2.564102564102564E-2</v>
      </c>
      <c r="T36" s="64">
        <v>2.564102564102564E-2</v>
      </c>
      <c r="U36" s="64">
        <v>2.564102564102564E-2</v>
      </c>
      <c r="V36" s="64">
        <v>2.564102564102564E-2</v>
      </c>
      <c r="W36" s="64">
        <v>2.564102564102564E-2</v>
      </c>
      <c r="X36" s="64">
        <v>2.564102564102564E-2</v>
      </c>
      <c r="Y36" s="64">
        <v>2.564102564102564E-2</v>
      </c>
      <c r="Z36" s="64">
        <v>2.564102564102564E-2</v>
      </c>
      <c r="AA36" s="64">
        <v>2.564102564102564E-2</v>
      </c>
      <c r="AB36" s="64">
        <v>2.564102564102564E-2</v>
      </c>
      <c r="AC36" s="64">
        <v>2.564102564102564E-2</v>
      </c>
      <c r="AD36" s="64">
        <v>2.564102564102564E-2</v>
      </c>
      <c r="AE36" s="64">
        <v>2.564102564102564E-2</v>
      </c>
      <c r="AF36" s="64">
        <v>2.564102564102564E-2</v>
      </c>
      <c r="AG36" s="64">
        <v>2.564102564102564E-2</v>
      </c>
      <c r="AH36" s="64">
        <v>2.564102564102564E-2</v>
      </c>
      <c r="AI36" s="64">
        <v>2.564102564102564E-2</v>
      </c>
      <c r="AJ36" s="64">
        <v>2.564102564102564E-2</v>
      </c>
      <c r="AK36" s="64">
        <v>2.564102564102564E-2</v>
      </c>
      <c r="AL36" s="64">
        <v>2.564102564102564E-2</v>
      </c>
      <c r="AM36" s="64">
        <v>2.564102564102564E-2</v>
      </c>
      <c r="AN36" s="64">
        <v>2.564102564102564E-2</v>
      </c>
      <c r="AO36" s="64">
        <v>2.564102564102564E-2</v>
      </c>
      <c r="AP36" s="64">
        <v>2.564102564102564E-2</v>
      </c>
      <c r="AQ36" s="64">
        <v>2.564102564102564E-2</v>
      </c>
    </row>
    <row r="37" spans="1:43" outlineLevel="1" x14ac:dyDescent="0.25">
      <c r="B37" s="106" t="s">
        <v>15</v>
      </c>
      <c r="C37" s="73">
        <f>SUM(C33:C36)</f>
        <v>1</v>
      </c>
      <c r="D37" s="73">
        <f>SUM(E37:AQ37)</f>
        <v>0.99999999999999933</v>
      </c>
      <c r="E37" s="73">
        <f>SUMPRODUCT($C$33:$C$36,E33:E36)</f>
        <v>0.18475641025641029</v>
      </c>
      <c r="F37" s="73">
        <f t="shared" ref="F37:AQ37" si="3">SUMPRODUCT($C$33:$C$36,F33:F36)</f>
        <v>0.29590641025641029</v>
      </c>
      <c r="G37" s="73">
        <f t="shared" si="3"/>
        <v>0.18004141025641027</v>
      </c>
      <c r="H37" s="73">
        <f t="shared" si="3"/>
        <v>0.11032641025641025</v>
      </c>
      <c r="I37" s="73">
        <f t="shared" si="3"/>
        <v>0.10978741025641024</v>
      </c>
      <c r="J37" s="73">
        <f t="shared" si="3"/>
        <v>5.7457410256410262E-2</v>
      </c>
      <c r="K37" s="73">
        <f t="shared" si="3"/>
        <v>5.3864102564102562E-3</v>
      </c>
      <c r="L37" s="73">
        <f t="shared" si="3"/>
        <v>5.3864102564102562E-3</v>
      </c>
      <c r="M37" s="73">
        <f t="shared" si="3"/>
        <v>5.3934102564102563E-3</v>
      </c>
      <c r="N37" s="73">
        <f t="shared" si="3"/>
        <v>5.3864102564102562E-3</v>
      </c>
      <c r="O37" s="73">
        <f t="shared" si="3"/>
        <v>5.3934102564102563E-3</v>
      </c>
      <c r="P37" s="73">
        <f t="shared" si="3"/>
        <v>5.3864102564102562E-3</v>
      </c>
      <c r="Q37" s="73">
        <f t="shared" si="3"/>
        <v>5.3934102564102563E-3</v>
      </c>
      <c r="R37" s="73">
        <f t="shared" si="3"/>
        <v>5.3864102564102562E-3</v>
      </c>
      <c r="S37" s="73">
        <f t="shared" si="3"/>
        <v>5.3934102564102563E-3</v>
      </c>
      <c r="T37" s="73">
        <f t="shared" si="3"/>
        <v>3.3214102564102562E-3</v>
      </c>
      <c r="U37" s="73">
        <f t="shared" si="3"/>
        <v>1.2564102564102564E-3</v>
      </c>
      <c r="V37" s="73">
        <f t="shared" si="3"/>
        <v>1.2564102564102564E-3</v>
      </c>
      <c r="W37" s="73">
        <f t="shared" si="3"/>
        <v>1.2564102564102564E-3</v>
      </c>
      <c r="X37" s="73">
        <f t="shared" si="3"/>
        <v>1.2564102564102564E-3</v>
      </c>
      <c r="Y37" s="73">
        <f t="shared" si="3"/>
        <v>2.5641025641025641E-4</v>
      </c>
      <c r="Z37" s="73">
        <f t="shared" si="3"/>
        <v>2.5641025641025641E-4</v>
      </c>
      <c r="AA37" s="73">
        <f t="shared" si="3"/>
        <v>2.5641025641025641E-4</v>
      </c>
      <c r="AB37" s="73">
        <f t="shared" si="3"/>
        <v>2.5641025641025641E-4</v>
      </c>
      <c r="AC37" s="73">
        <f t="shared" si="3"/>
        <v>2.5641025641025641E-4</v>
      </c>
      <c r="AD37" s="73">
        <f t="shared" si="3"/>
        <v>2.5641025641025641E-4</v>
      </c>
      <c r="AE37" s="73">
        <f t="shared" si="3"/>
        <v>2.5641025641025641E-4</v>
      </c>
      <c r="AF37" s="73">
        <f t="shared" si="3"/>
        <v>2.5641025641025641E-4</v>
      </c>
      <c r="AG37" s="73">
        <f t="shared" si="3"/>
        <v>2.5641025641025641E-4</v>
      </c>
      <c r="AH37" s="73">
        <f t="shared" si="3"/>
        <v>2.5641025641025641E-4</v>
      </c>
      <c r="AI37" s="73">
        <f t="shared" si="3"/>
        <v>2.5641025641025641E-4</v>
      </c>
      <c r="AJ37" s="73">
        <f t="shared" si="3"/>
        <v>2.5641025641025641E-4</v>
      </c>
      <c r="AK37" s="73">
        <f t="shared" si="3"/>
        <v>2.5641025641025641E-4</v>
      </c>
      <c r="AL37" s="73">
        <f t="shared" si="3"/>
        <v>2.5641025641025641E-4</v>
      </c>
      <c r="AM37" s="73">
        <f t="shared" si="3"/>
        <v>2.5641025641025641E-4</v>
      </c>
      <c r="AN37" s="73">
        <f t="shared" si="3"/>
        <v>2.5641025641025641E-4</v>
      </c>
      <c r="AO37" s="73">
        <f t="shared" si="3"/>
        <v>2.5641025641025641E-4</v>
      </c>
      <c r="AP37" s="73">
        <f t="shared" si="3"/>
        <v>2.5641025641025641E-4</v>
      </c>
      <c r="AQ37" s="73">
        <f t="shared" si="3"/>
        <v>2.5641025641025641E-4</v>
      </c>
    </row>
    <row r="38" spans="1:43" outlineLevel="1" x14ac:dyDescent="0.25"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</row>
    <row r="39" spans="1:43" outlineLevel="1" x14ac:dyDescent="0.25">
      <c r="B39" s="2" t="s">
        <v>157</v>
      </c>
      <c r="D39" s="56">
        <f>SUM(E39:AQ39)</f>
        <v>318779.99999999994</v>
      </c>
      <c r="E39" s="70">
        <f>$C$30*E37</f>
        <v>58896.648461538462</v>
      </c>
      <c r="F39" s="70">
        <f t="shared" ref="F39:AQ39" si="4">$C$30*F37</f>
        <v>94329.045461538451</v>
      </c>
      <c r="G39" s="70">
        <f t="shared" si="4"/>
        <v>57393.600761538451</v>
      </c>
      <c r="H39" s="70">
        <f t="shared" si="4"/>
        <v>35169.853061538452</v>
      </c>
      <c r="I39" s="70">
        <f t="shared" si="4"/>
        <v>34998.030641538448</v>
      </c>
      <c r="J39" s="70">
        <f t="shared" si="4"/>
        <v>18316.27324153846</v>
      </c>
      <c r="K39" s="70">
        <f t="shared" si="4"/>
        <v>1717.079861538461</v>
      </c>
      <c r="L39" s="70">
        <f t="shared" si="4"/>
        <v>1717.079861538461</v>
      </c>
      <c r="M39" s="70">
        <f t="shared" si="4"/>
        <v>1719.3113215384612</v>
      </c>
      <c r="N39" s="70">
        <f t="shared" si="4"/>
        <v>1717.079861538461</v>
      </c>
      <c r="O39" s="70">
        <f t="shared" si="4"/>
        <v>1719.3113215384612</v>
      </c>
      <c r="P39" s="70">
        <f t="shared" si="4"/>
        <v>1717.079861538461</v>
      </c>
      <c r="Q39" s="70">
        <f t="shared" si="4"/>
        <v>1719.3113215384612</v>
      </c>
      <c r="R39" s="70">
        <f t="shared" si="4"/>
        <v>1717.079861538461</v>
      </c>
      <c r="S39" s="70">
        <f t="shared" si="4"/>
        <v>1719.3113215384612</v>
      </c>
      <c r="T39" s="70">
        <f t="shared" si="4"/>
        <v>1058.7991615384612</v>
      </c>
      <c r="U39" s="70">
        <f t="shared" si="4"/>
        <v>400.51846153846145</v>
      </c>
      <c r="V39" s="70">
        <f t="shared" si="4"/>
        <v>400.51846153846145</v>
      </c>
      <c r="W39" s="70">
        <f t="shared" si="4"/>
        <v>400.51846153846145</v>
      </c>
      <c r="X39" s="70">
        <f t="shared" si="4"/>
        <v>400.51846153846145</v>
      </c>
      <c r="Y39" s="70">
        <f t="shared" si="4"/>
        <v>81.738461538461522</v>
      </c>
      <c r="Z39" s="70">
        <f t="shared" si="4"/>
        <v>81.738461538461522</v>
      </c>
      <c r="AA39" s="70">
        <f t="shared" si="4"/>
        <v>81.738461538461522</v>
      </c>
      <c r="AB39" s="70">
        <f t="shared" si="4"/>
        <v>81.738461538461522</v>
      </c>
      <c r="AC39" s="70">
        <f t="shared" si="4"/>
        <v>81.738461538461522</v>
      </c>
      <c r="AD39" s="70">
        <f t="shared" si="4"/>
        <v>81.738461538461522</v>
      </c>
      <c r="AE39" s="70">
        <f t="shared" si="4"/>
        <v>81.738461538461522</v>
      </c>
      <c r="AF39" s="70">
        <f t="shared" si="4"/>
        <v>81.738461538461522</v>
      </c>
      <c r="AG39" s="70">
        <f t="shared" si="4"/>
        <v>81.738461538461522</v>
      </c>
      <c r="AH39" s="70">
        <f t="shared" si="4"/>
        <v>81.738461538461522</v>
      </c>
      <c r="AI39" s="70">
        <f t="shared" si="4"/>
        <v>81.738461538461522</v>
      </c>
      <c r="AJ39" s="70">
        <f t="shared" si="4"/>
        <v>81.738461538461522</v>
      </c>
      <c r="AK39" s="70">
        <f t="shared" si="4"/>
        <v>81.738461538461522</v>
      </c>
      <c r="AL39" s="70">
        <f t="shared" si="4"/>
        <v>81.738461538461522</v>
      </c>
      <c r="AM39" s="70">
        <f t="shared" si="4"/>
        <v>81.738461538461522</v>
      </c>
      <c r="AN39" s="70">
        <f t="shared" si="4"/>
        <v>81.738461538461522</v>
      </c>
      <c r="AO39" s="70">
        <f t="shared" si="4"/>
        <v>81.738461538461522</v>
      </c>
      <c r="AP39" s="70">
        <f t="shared" si="4"/>
        <v>81.738461538461522</v>
      </c>
      <c r="AQ39" s="70">
        <f t="shared" si="4"/>
        <v>81.738461538461522</v>
      </c>
    </row>
    <row r="40" spans="1:43" outlineLevel="1" x14ac:dyDescent="0.25">
      <c r="A40" s="13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x14ac:dyDescent="0.25">
      <c r="A41" s="35"/>
      <c r="B41" s="35" t="s">
        <v>181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</row>
    <row r="42" spans="1:43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x14ac:dyDescent="0.25">
      <c r="A43" s="6"/>
      <c r="B43" s="96" t="s">
        <v>47</v>
      </c>
      <c r="C43" s="6"/>
      <c r="D43" s="6"/>
      <c r="E43" s="117">
        <f>Assumptions!D19</f>
        <v>318779.99999999994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x14ac:dyDescent="0.25">
      <c r="A44" s="6"/>
      <c r="B44" s="96" t="s">
        <v>100</v>
      </c>
      <c r="C44" s="6"/>
      <c r="D44" s="6"/>
      <c r="E44" s="117">
        <f>15%*E43</f>
        <v>47816.999999999993</v>
      </c>
      <c r="F44" s="6"/>
      <c r="G44" s="117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x14ac:dyDescent="0.25">
      <c r="A45" s="6"/>
      <c r="B45" s="96" t="s">
        <v>101</v>
      </c>
      <c r="C45" s="6"/>
      <c r="D45" s="6"/>
      <c r="E45" s="117">
        <f>SUM(E43:E44)</f>
        <v>366596.99999999994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1:43" x14ac:dyDescent="0.25">
      <c r="A47" s="6"/>
      <c r="B47" s="94"/>
      <c r="C47" s="94" t="s">
        <v>46</v>
      </c>
      <c r="D47" s="104" t="s">
        <v>15</v>
      </c>
      <c r="E47" s="104">
        <v>1</v>
      </c>
      <c r="F47" s="104">
        <f t="shared" ref="F47:AQ47" si="5">E47+1</f>
        <v>2</v>
      </c>
      <c r="G47" s="104">
        <f t="shared" si="5"/>
        <v>3</v>
      </c>
      <c r="H47" s="104">
        <f t="shared" si="5"/>
        <v>4</v>
      </c>
      <c r="I47" s="104">
        <f t="shared" si="5"/>
        <v>5</v>
      </c>
      <c r="J47" s="104">
        <f t="shared" si="5"/>
        <v>6</v>
      </c>
      <c r="K47" s="104">
        <f t="shared" si="5"/>
        <v>7</v>
      </c>
      <c r="L47" s="104">
        <f t="shared" si="5"/>
        <v>8</v>
      </c>
      <c r="M47" s="104">
        <f t="shared" si="5"/>
        <v>9</v>
      </c>
      <c r="N47" s="104">
        <f t="shared" si="5"/>
        <v>10</v>
      </c>
      <c r="O47" s="104">
        <f t="shared" si="5"/>
        <v>11</v>
      </c>
      <c r="P47" s="104">
        <f t="shared" si="5"/>
        <v>12</v>
      </c>
      <c r="Q47" s="104">
        <f t="shared" si="5"/>
        <v>13</v>
      </c>
      <c r="R47" s="104">
        <f t="shared" si="5"/>
        <v>14</v>
      </c>
      <c r="S47" s="104">
        <f t="shared" si="5"/>
        <v>15</v>
      </c>
      <c r="T47" s="104">
        <f t="shared" si="5"/>
        <v>16</v>
      </c>
      <c r="U47" s="104">
        <f t="shared" si="5"/>
        <v>17</v>
      </c>
      <c r="V47" s="104">
        <f t="shared" si="5"/>
        <v>18</v>
      </c>
      <c r="W47" s="104">
        <f t="shared" si="5"/>
        <v>19</v>
      </c>
      <c r="X47" s="104">
        <f t="shared" si="5"/>
        <v>20</v>
      </c>
      <c r="Y47" s="104">
        <f t="shared" si="5"/>
        <v>21</v>
      </c>
      <c r="Z47" s="104">
        <f t="shared" si="5"/>
        <v>22</v>
      </c>
      <c r="AA47" s="104">
        <f t="shared" si="5"/>
        <v>23</v>
      </c>
      <c r="AB47" s="104">
        <f t="shared" si="5"/>
        <v>24</v>
      </c>
      <c r="AC47" s="104">
        <f t="shared" si="5"/>
        <v>25</v>
      </c>
      <c r="AD47" s="104">
        <f t="shared" si="5"/>
        <v>26</v>
      </c>
      <c r="AE47" s="104">
        <f t="shared" si="5"/>
        <v>27</v>
      </c>
      <c r="AF47" s="104">
        <f t="shared" si="5"/>
        <v>28</v>
      </c>
      <c r="AG47" s="104">
        <f t="shared" si="5"/>
        <v>29</v>
      </c>
      <c r="AH47" s="104">
        <f t="shared" si="5"/>
        <v>30</v>
      </c>
      <c r="AI47" s="104">
        <f t="shared" si="5"/>
        <v>31</v>
      </c>
      <c r="AJ47" s="104">
        <f t="shared" si="5"/>
        <v>32</v>
      </c>
      <c r="AK47" s="104">
        <f t="shared" si="5"/>
        <v>33</v>
      </c>
      <c r="AL47" s="104">
        <f t="shared" si="5"/>
        <v>34</v>
      </c>
      <c r="AM47" s="104">
        <f t="shared" si="5"/>
        <v>35</v>
      </c>
      <c r="AN47" s="104">
        <f t="shared" si="5"/>
        <v>36</v>
      </c>
      <c r="AO47" s="104">
        <f t="shared" si="5"/>
        <v>37</v>
      </c>
      <c r="AP47" s="104">
        <f t="shared" si="5"/>
        <v>38</v>
      </c>
      <c r="AQ47" s="104">
        <f t="shared" si="5"/>
        <v>39</v>
      </c>
    </row>
    <row r="48" spans="1:43" x14ac:dyDescent="0.25">
      <c r="A48" s="6"/>
      <c r="B48" s="91" t="s">
        <v>43</v>
      </c>
      <c r="C48" s="99">
        <v>0.9</v>
      </c>
      <c r="D48" s="71">
        <f>SUM(E48:AQ48)</f>
        <v>0.99999999999999989</v>
      </c>
      <c r="E48" s="55">
        <v>0.2</v>
      </c>
      <c r="F48" s="55">
        <v>0.32</v>
      </c>
      <c r="G48" s="55">
        <v>0.192</v>
      </c>
      <c r="H48" s="55">
        <v>0.1152</v>
      </c>
      <c r="I48" s="55">
        <v>0.1152</v>
      </c>
      <c r="J48" s="55">
        <v>5.7599999999999998E-2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spans="1:43" x14ac:dyDescent="0.25">
      <c r="A49" s="6"/>
      <c r="B49" s="91" t="s">
        <v>44</v>
      </c>
      <c r="C49" s="99">
        <v>7.0000000000000007E-2</v>
      </c>
      <c r="D49" s="71">
        <f>SUM(E49:AQ49)</f>
        <v>1.0000000000000002</v>
      </c>
      <c r="E49" s="55">
        <v>0.05</v>
      </c>
      <c r="F49" s="55">
        <v>9.5000000000000001E-2</v>
      </c>
      <c r="G49" s="55">
        <v>8.5500000000000007E-2</v>
      </c>
      <c r="H49" s="55">
        <v>7.6999999999999999E-2</v>
      </c>
      <c r="I49" s="55">
        <v>6.93E-2</v>
      </c>
      <c r="J49" s="55">
        <v>6.2300000000000001E-2</v>
      </c>
      <c r="K49" s="55">
        <v>5.8999999999999997E-2</v>
      </c>
      <c r="L49" s="55">
        <v>5.8999999999999997E-2</v>
      </c>
      <c r="M49" s="55">
        <v>5.91E-2</v>
      </c>
      <c r="N49" s="55">
        <v>5.8999999999999997E-2</v>
      </c>
      <c r="O49" s="55">
        <v>5.91E-2</v>
      </c>
      <c r="P49" s="55">
        <v>5.8999999999999997E-2</v>
      </c>
      <c r="Q49" s="55">
        <v>5.91E-2</v>
      </c>
      <c r="R49" s="55">
        <v>5.8999999999999997E-2</v>
      </c>
      <c r="S49" s="55">
        <v>5.91E-2</v>
      </c>
      <c r="T49" s="55">
        <v>2.9499999999999998E-2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1:43" x14ac:dyDescent="0.25">
      <c r="A50" s="6"/>
      <c r="B50" s="91" t="s">
        <v>207</v>
      </c>
      <c r="C50" s="99">
        <v>0.02</v>
      </c>
      <c r="D50" s="71">
        <f>SUM(E50:AQ50)</f>
        <v>1.0000000000000002</v>
      </c>
      <c r="E50" s="55">
        <v>0.05</v>
      </c>
      <c r="F50" s="55">
        <v>0.05</v>
      </c>
      <c r="G50" s="55">
        <v>0.05</v>
      </c>
      <c r="H50" s="55">
        <v>0.05</v>
      </c>
      <c r="I50" s="55">
        <v>0.05</v>
      </c>
      <c r="J50" s="55">
        <v>0.05</v>
      </c>
      <c r="K50" s="55">
        <v>0.05</v>
      </c>
      <c r="L50" s="55">
        <v>0.05</v>
      </c>
      <c r="M50" s="55">
        <v>0.05</v>
      </c>
      <c r="N50" s="55">
        <v>0.05</v>
      </c>
      <c r="O50" s="55">
        <v>0.05</v>
      </c>
      <c r="P50" s="55">
        <v>0.05</v>
      </c>
      <c r="Q50" s="55">
        <v>0.05</v>
      </c>
      <c r="R50" s="55">
        <v>0.05</v>
      </c>
      <c r="S50" s="55">
        <v>0.05</v>
      </c>
      <c r="T50" s="55">
        <v>0.05</v>
      </c>
      <c r="U50" s="55">
        <v>0.05</v>
      </c>
      <c r="V50" s="55">
        <v>0.05</v>
      </c>
      <c r="W50" s="55">
        <v>0.05</v>
      </c>
      <c r="X50" s="55">
        <v>0.05</v>
      </c>
      <c r="Y50" s="55"/>
      <c r="Z50" s="55"/>
      <c r="AA50" s="55"/>
      <c r="AB50" s="55"/>
      <c r="AC50" s="55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1:43" x14ac:dyDescent="0.25">
      <c r="A51" s="6"/>
      <c r="B51" s="92" t="s">
        <v>45</v>
      </c>
      <c r="C51" s="105">
        <v>0.01</v>
      </c>
      <c r="D51" s="72">
        <f>SUM(E51:AQ51)</f>
        <v>1.0000000000000004</v>
      </c>
      <c r="E51" s="64">
        <v>2.564102564102564E-2</v>
      </c>
      <c r="F51" s="64">
        <v>2.564102564102564E-2</v>
      </c>
      <c r="G51" s="64">
        <v>2.564102564102564E-2</v>
      </c>
      <c r="H51" s="64">
        <v>2.564102564102564E-2</v>
      </c>
      <c r="I51" s="64">
        <v>2.564102564102564E-2</v>
      </c>
      <c r="J51" s="64">
        <v>2.564102564102564E-2</v>
      </c>
      <c r="K51" s="64">
        <v>2.564102564102564E-2</v>
      </c>
      <c r="L51" s="64">
        <v>2.564102564102564E-2</v>
      </c>
      <c r="M51" s="64">
        <v>2.564102564102564E-2</v>
      </c>
      <c r="N51" s="64">
        <v>2.564102564102564E-2</v>
      </c>
      <c r="O51" s="64">
        <v>2.564102564102564E-2</v>
      </c>
      <c r="P51" s="64">
        <v>2.564102564102564E-2</v>
      </c>
      <c r="Q51" s="64">
        <v>2.564102564102564E-2</v>
      </c>
      <c r="R51" s="64">
        <v>2.564102564102564E-2</v>
      </c>
      <c r="S51" s="64">
        <v>2.564102564102564E-2</v>
      </c>
      <c r="T51" s="64">
        <v>2.564102564102564E-2</v>
      </c>
      <c r="U51" s="64">
        <v>2.564102564102564E-2</v>
      </c>
      <c r="V51" s="64">
        <v>2.564102564102564E-2</v>
      </c>
      <c r="W51" s="64">
        <v>2.564102564102564E-2</v>
      </c>
      <c r="X51" s="64">
        <v>2.564102564102564E-2</v>
      </c>
      <c r="Y51" s="64">
        <v>2.564102564102564E-2</v>
      </c>
      <c r="Z51" s="64">
        <v>2.564102564102564E-2</v>
      </c>
      <c r="AA51" s="64">
        <v>2.564102564102564E-2</v>
      </c>
      <c r="AB51" s="64">
        <v>2.564102564102564E-2</v>
      </c>
      <c r="AC51" s="64">
        <v>2.564102564102564E-2</v>
      </c>
      <c r="AD51" s="64">
        <v>2.564102564102564E-2</v>
      </c>
      <c r="AE51" s="64">
        <v>2.564102564102564E-2</v>
      </c>
      <c r="AF51" s="64">
        <v>2.564102564102564E-2</v>
      </c>
      <c r="AG51" s="64">
        <v>2.564102564102564E-2</v>
      </c>
      <c r="AH51" s="64">
        <v>2.564102564102564E-2</v>
      </c>
      <c r="AI51" s="64">
        <v>2.564102564102564E-2</v>
      </c>
      <c r="AJ51" s="64">
        <v>2.564102564102564E-2</v>
      </c>
      <c r="AK51" s="64">
        <v>2.564102564102564E-2</v>
      </c>
      <c r="AL51" s="64">
        <v>2.564102564102564E-2</v>
      </c>
      <c r="AM51" s="64">
        <v>2.564102564102564E-2</v>
      </c>
      <c r="AN51" s="64">
        <v>2.564102564102564E-2</v>
      </c>
      <c r="AO51" s="64">
        <v>2.564102564102564E-2</v>
      </c>
      <c r="AP51" s="64">
        <v>2.564102564102564E-2</v>
      </c>
      <c r="AQ51" s="64">
        <v>2.564102564102564E-2</v>
      </c>
    </row>
    <row r="52" spans="1:43" x14ac:dyDescent="0.25">
      <c r="A52" s="6"/>
      <c r="B52" s="106" t="s">
        <v>15</v>
      </c>
      <c r="C52" s="73">
        <f>SUM(C48:C51)</f>
        <v>1</v>
      </c>
      <c r="D52" s="73">
        <f>SUM(E52:AQ52)</f>
        <v>0.99999999999999933</v>
      </c>
      <c r="E52" s="73">
        <f t="shared" ref="E52:AQ52" si="6">SUMPRODUCT($C$48:$C$51,E48:E51)</f>
        <v>0.18475641025641029</v>
      </c>
      <c r="F52" s="73">
        <f t="shared" si="6"/>
        <v>0.29590641025641029</v>
      </c>
      <c r="G52" s="73">
        <f t="shared" si="6"/>
        <v>0.18004141025641027</v>
      </c>
      <c r="H52" s="73">
        <f t="shared" si="6"/>
        <v>0.11032641025641025</v>
      </c>
      <c r="I52" s="73">
        <f t="shared" si="6"/>
        <v>0.10978741025641024</v>
      </c>
      <c r="J52" s="73">
        <f t="shared" si="6"/>
        <v>5.7457410256410262E-2</v>
      </c>
      <c r="K52" s="73">
        <f t="shared" si="6"/>
        <v>5.3864102564102562E-3</v>
      </c>
      <c r="L52" s="73">
        <f t="shared" si="6"/>
        <v>5.3864102564102562E-3</v>
      </c>
      <c r="M52" s="73">
        <f t="shared" si="6"/>
        <v>5.3934102564102563E-3</v>
      </c>
      <c r="N52" s="73">
        <f t="shared" si="6"/>
        <v>5.3864102564102562E-3</v>
      </c>
      <c r="O52" s="73">
        <f t="shared" si="6"/>
        <v>5.3934102564102563E-3</v>
      </c>
      <c r="P52" s="73">
        <f t="shared" si="6"/>
        <v>5.3864102564102562E-3</v>
      </c>
      <c r="Q52" s="73">
        <f t="shared" si="6"/>
        <v>5.3934102564102563E-3</v>
      </c>
      <c r="R52" s="73">
        <f t="shared" si="6"/>
        <v>5.3864102564102562E-3</v>
      </c>
      <c r="S52" s="73">
        <f t="shared" si="6"/>
        <v>5.3934102564102563E-3</v>
      </c>
      <c r="T52" s="73">
        <f t="shared" si="6"/>
        <v>3.3214102564102562E-3</v>
      </c>
      <c r="U52" s="73">
        <f t="shared" si="6"/>
        <v>1.2564102564102564E-3</v>
      </c>
      <c r="V52" s="73">
        <f t="shared" si="6"/>
        <v>1.2564102564102564E-3</v>
      </c>
      <c r="W52" s="73">
        <f t="shared" si="6"/>
        <v>1.2564102564102564E-3</v>
      </c>
      <c r="X52" s="73">
        <f t="shared" si="6"/>
        <v>1.2564102564102564E-3</v>
      </c>
      <c r="Y52" s="73">
        <f t="shared" si="6"/>
        <v>2.5641025641025641E-4</v>
      </c>
      <c r="Z52" s="73">
        <f t="shared" si="6"/>
        <v>2.5641025641025641E-4</v>
      </c>
      <c r="AA52" s="73">
        <f t="shared" si="6"/>
        <v>2.5641025641025641E-4</v>
      </c>
      <c r="AB52" s="73">
        <f t="shared" si="6"/>
        <v>2.5641025641025641E-4</v>
      </c>
      <c r="AC52" s="73">
        <f t="shared" si="6"/>
        <v>2.5641025641025641E-4</v>
      </c>
      <c r="AD52" s="73">
        <f t="shared" si="6"/>
        <v>2.5641025641025641E-4</v>
      </c>
      <c r="AE52" s="73">
        <f t="shared" si="6"/>
        <v>2.5641025641025641E-4</v>
      </c>
      <c r="AF52" s="73">
        <f t="shared" si="6"/>
        <v>2.5641025641025641E-4</v>
      </c>
      <c r="AG52" s="73">
        <f t="shared" si="6"/>
        <v>2.5641025641025641E-4</v>
      </c>
      <c r="AH52" s="73">
        <f t="shared" si="6"/>
        <v>2.5641025641025641E-4</v>
      </c>
      <c r="AI52" s="73">
        <f t="shared" si="6"/>
        <v>2.5641025641025641E-4</v>
      </c>
      <c r="AJ52" s="73">
        <f t="shared" si="6"/>
        <v>2.5641025641025641E-4</v>
      </c>
      <c r="AK52" s="73">
        <f t="shared" si="6"/>
        <v>2.5641025641025641E-4</v>
      </c>
      <c r="AL52" s="73">
        <f t="shared" si="6"/>
        <v>2.5641025641025641E-4</v>
      </c>
      <c r="AM52" s="73">
        <f t="shared" si="6"/>
        <v>2.5641025641025641E-4</v>
      </c>
      <c r="AN52" s="73">
        <f t="shared" si="6"/>
        <v>2.5641025641025641E-4</v>
      </c>
      <c r="AO52" s="73">
        <f t="shared" si="6"/>
        <v>2.5641025641025641E-4</v>
      </c>
      <c r="AP52" s="73">
        <f t="shared" si="6"/>
        <v>2.5641025641025641E-4</v>
      </c>
      <c r="AQ52" s="73">
        <f t="shared" si="6"/>
        <v>2.5641025641025641E-4</v>
      </c>
    </row>
    <row r="53" spans="1:43" x14ac:dyDescent="0.25">
      <c r="A53" s="6"/>
      <c r="B53" s="6"/>
      <c r="C53" s="6"/>
      <c r="D53" s="6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</row>
    <row r="54" spans="1:43" x14ac:dyDescent="0.25">
      <c r="A54" s="6"/>
      <c r="B54" s="6" t="s">
        <v>177</v>
      </c>
      <c r="C54" s="6"/>
      <c r="D54" s="67">
        <f>SUM(E54:AQ54)</f>
        <v>366596.99999999988</v>
      </c>
      <c r="E54" s="117">
        <f t="shared" ref="E54:AQ54" si="7">$E$45*E52</f>
        <v>67731.145730769233</v>
      </c>
      <c r="F54" s="117">
        <f t="shared" si="7"/>
        <v>108478.40228076922</v>
      </c>
      <c r="G54" s="117">
        <f t="shared" si="7"/>
        <v>66002.640875769226</v>
      </c>
      <c r="H54" s="117">
        <f t="shared" si="7"/>
        <v>40445.331020769227</v>
      </c>
      <c r="I54" s="117">
        <f t="shared" si="7"/>
        <v>40247.735237769222</v>
      </c>
      <c r="J54" s="117">
        <f t="shared" si="7"/>
        <v>21063.714227769229</v>
      </c>
      <c r="K54" s="117">
        <f t="shared" si="7"/>
        <v>1974.6418407692304</v>
      </c>
      <c r="L54" s="117">
        <f t="shared" si="7"/>
        <v>1974.6418407692304</v>
      </c>
      <c r="M54" s="117">
        <f t="shared" si="7"/>
        <v>1977.2080197692303</v>
      </c>
      <c r="N54" s="117">
        <f t="shared" si="7"/>
        <v>1974.6418407692304</v>
      </c>
      <c r="O54" s="117">
        <f t="shared" si="7"/>
        <v>1977.2080197692303</v>
      </c>
      <c r="P54" s="117">
        <f t="shared" si="7"/>
        <v>1974.6418407692304</v>
      </c>
      <c r="Q54" s="117">
        <f t="shared" si="7"/>
        <v>1977.2080197692303</v>
      </c>
      <c r="R54" s="117">
        <f t="shared" si="7"/>
        <v>1974.6418407692304</v>
      </c>
      <c r="S54" s="117">
        <f t="shared" si="7"/>
        <v>1977.2080197692303</v>
      </c>
      <c r="T54" s="117">
        <f t="shared" si="7"/>
        <v>1217.6190357692305</v>
      </c>
      <c r="U54" s="117">
        <f t="shared" si="7"/>
        <v>460.59623076923071</v>
      </c>
      <c r="V54" s="117">
        <f t="shared" si="7"/>
        <v>460.59623076923071</v>
      </c>
      <c r="W54" s="117">
        <f t="shared" si="7"/>
        <v>460.59623076923071</v>
      </c>
      <c r="X54" s="117">
        <f t="shared" si="7"/>
        <v>460.59623076923071</v>
      </c>
      <c r="Y54" s="117">
        <f t="shared" si="7"/>
        <v>93.999230769230749</v>
      </c>
      <c r="Z54" s="117">
        <f t="shared" si="7"/>
        <v>93.999230769230749</v>
      </c>
      <c r="AA54" s="117">
        <f t="shared" si="7"/>
        <v>93.999230769230749</v>
      </c>
      <c r="AB54" s="117">
        <f t="shared" si="7"/>
        <v>93.999230769230749</v>
      </c>
      <c r="AC54" s="117">
        <f t="shared" si="7"/>
        <v>93.999230769230749</v>
      </c>
      <c r="AD54" s="117">
        <f t="shared" si="7"/>
        <v>93.999230769230749</v>
      </c>
      <c r="AE54" s="117">
        <f t="shared" si="7"/>
        <v>93.999230769230749</v>
      </c>
      <c r="AF54" s="117">
        <f t="shared" si="7"/>
        <v>93.999230769230749</v>
      </c>
      <c r="AG54" s="117">
        <f t="shared" si="7"/>
        <v>93.999230769230749</v>
      </c>
      <c r="AH54" s="117">
        <f t="shared" si="7"/>
        <v>93.999230769230749</v>
      </c>
      <c r="AI54" s="117">
        <f t="shared" si="7"/>
        <v>93.999230769230749</v>
      </c>
      <c r="AJ54" s="117">
        <f t="shared" si="7"/>
        <v>93.999230769230749</v>
      </c>
      <c r="AK54" s="117">
        <f t="shared" si="7"/>
        <v>93.999230769230749</v>
      </c>
      <c r="AL54" s="117">
        <f t="shared" si="7"/>
        <v>93.999230769230749</v>
      </c>
      <c r="AM54" s="117">
        <f t="shared" si="7"/>
        <v>93.999230769230749</v>
      </c>
      <c r="AN54" s="117">
        <f t="shared" si="7"/>
        <v>93.999230769230749</v>
      </c>
      <c r="AO54" s="117">
        <f t="shared" si="7"/>
        <v>93.999230769230749</v>
      </c>
      <c r="AP54" s="117">
        <f t="shared" si="7"/>
        <v>93.999230769230749</v>
      </c>
      <c r="AQ54" s="117">
        <f t="shared" si="7"/>
        <v>93.999230769230749</v>
      </c>
    </row>
    <row r="55" spans="1:43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spans="1:43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showGridLines="0" zoomScale="85" zoomScaleNormal="85" workbookViewId="0"/>
  </sheetViews>
  <sheetFormatPr defaultColWidth="9.109375" defaultRowHeight="13.8" x14ac:dyDescent="0.25"/>
  <cols>
    <col min="1" max="1" width="2.6640625" style="2" customWidth="1"/>
    <col min="2" max="2" width="26.44140625" style="2" bestFit="1" customWidth="1"/>
    <col min="3" max="3" width="12.109375" style="2" customWidth="1"/>
    <col min="4" max="4" width="12" style="2" bestFit="1" customWidth="1"/>
    <col min="5" max="23" width="9.44140625" style="2" customWidth="1"/>
    <col min="24" max="24" width="9.44140625" style="2" bestFit="1" customWidth="1"/>
    <col min="25" max="16384" width="9.109375" style="2"/>
  </cols>
  <sheetData>
    <row r="1" spans="1:28" ht="16.8" x14ac:dyDescent="0.3">
      <c r="A1" s="66" t="s">
        <v>0</v>
      </c>
    </row>
    <row r="2" spans="1:28" x14ac:dyDescent="0.25">
      <c r="A2" s="2" t="s">
        <v>36</v>
      </c>
    </row>
    <row r="4" spans="1:28" x14ac:dyDescent="0.25">
      <c r="A4" s="35"/>
      <c r="B4" s="35" t="s">
        <v>36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x14ac:dyDescent="0.25"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28" x14ac:dyDescent="0.25">
      <c r="B6" s="38" t="s">
        <v>63</v>
      </c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8" spans="1:28" x14ac:dyDescent="0.25">
      <c r="B8" s="15" t="s">
        <v>64</v>
      </c>
      <c r="C8" s="15"/>
    </row>
    <row r="9" spans="1:28" x14ac:dyDescent="0.25">
      <c r="B9" s="36" t="s">
        <v>138</v>
      </c>
      <c r="C9" s="96"/>
      <c r="D9" s="113">
        <v>0.02</v>
      </c>
      <c r="E9" s="6"/>
      <c r="F9" s="6"/>
    </row>
    <row r="10" spans="1:28" x14ac:dyDescent="0.25">
      <c r="B10" s="37" t="s">
        <v>21</v>
      </c>
      <c r="C10" s="107"/>
      <c r="D10" s="114">
        <v>0.02</v>
      </c>
      <c r="E10" s="6"/>
      <c r="F10" s="6"/>
    </row>
    <row r="11" spans="1:28" x14ac:dyDescent="0.25">
      <c r="B11" s="2" t="s">
        <v>139</v>
      </c>
      <c r="C11" s="6"/>
      <c r="D11" s="115">
        <f>D9+D10</f>
        <v>0.04</v>
      </c>
      <c r="E11" s="6"/>
      <c r="F11" s="6"/>
    </row>
    <row r="12" spans="1:28" x14ac:dyDescent="0.25">
      <c r="C12" s="6"/>
      <c r="D12" s="98"/>
      <c r="E12" s="6"/>
      <c r="F12" s="6"/>
    </row>
    <row r="13" spans="1:28" x14ac:dyDescent="0.25">
      <c r="B13" s="2" t="s">
        <v>140</v>
      </c>
      <c r="C13" s="6"/>
      <c r="D13" s="111">
        <f>Assumptions!H22</f>
        <v>18</v>
      </c>
      <c r="E13" s="6"/>
      <c r="F13" s="6"/>
    </row>
    <row r="14" spans="1:28" x14ac:dyDescent="0.25">
      <c r="B14" s="2" t="s">
        <v>65</v>
      </c>
      <c r="C14" s="6"/>
      <c r="D14" s="112">
        <f>Assumptions!H23</f>
        <v>1.3</v>
      </c>
      <c r="E14" s="6"/>
      <c r="F14" s="6"/>
    </row>
    <row r="15" spans="1:28" x14ac:dyDescent="0.25">
      <c r="C15" s="6"/>
      <c r="D15" s="108"/>
      <c r="E15" s="6"/>
      <c r="F15" s="6"/>
    </row>
    <row r="16" spans="1:28" x14ac:dyDescent="0.25">
      <c r="B16" s="2" t="s">
        <v>202</v>
      </c>
      <c r="C16" s="6"/>
      <c r="D16" s="108">
        <f>Assumptions!$C$9</f>
        <v>202.39999999999998</v>
      </c>
      <c r="E16" s="6"/>
      <c r="F16" s="109" t="s">
        <v>68</v>
      </c>
    </row>
    <row r="17" spans="2:28" x14ac:dyDescent="0.25">
      <c r="B17" s="2" t="s">
        <v>67</v>
      </c>
      <c r="C17" s="6"/>
      <c r="D17" s="7">
        <f>Assumptions!H7*(1+$F$17)</f>
        <v>0.33600000000000002</v>
      </c>
      <c r="E17" s="6"/>
      <c r="F17" s="116">
        <v>0</v>
      </c>
    </row>
    <row r="18" spans="2:28" x14ac:dyDescent="0.25">
      <c r="C18" s="6"/>
      <c r="D18" s="6"/>
      <c r="E18" s="6"/>
      <c r="F18" s="6"/>
    </row>
    <row r="19" spans="2:28" x14ac:dyDescent="0.25">
      <c r="B19" s="2" t="s">
        <v>81</v>
      </c>
      <c r="C19" s="6"/>
      <c r="D19" s="110">
        <f>NPV($D$11,D31:AB31)</f>
        <v>271865.67260116036</v>
      </c>
      <c r="E19" s="6"/>
      <c r="F19" s="6"/>
    </row>
    <row r="21" spans="2:28" x14ac:dyDescent="0.25">
      <c r="B21" s="38" t="s">
        <v>136</v>
      </c>
      <c r="C21" s="39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2:28" x14ac:dyDescent="0.25">
      <c r="B22" s="128"/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</row>
    <row r="23" spans="2:28" x14ac:dyDescent="0.25">
      <c r="B23" s="33" t="s">
        <v>116</v>
      </c>
      <c r="C23" s="121"/>
      <c r="D23" s="121">
        <v>1</v>
      </c>
      <c r="E23" s="121">
        <f t="shared" ref="E23:W23" si="0">D23+1</f>
        <v>2</v>
      </c>
      <c r="F23" s="121">
        <f t="shared" si="0"/>
        <v>3</v>
      </c>
      <c r="G23" s="121">
        <f t="shared" si="0"/>
        <v>4</v>
      </c>
      <c r="H23" s="121">
        <f t="shared" si="0"/>
        <v>5</v>
      </c>
      <c r="I23" s="121">
        <f t="shared" si="0"/>
        <v>6</v>
      </c>
      <c r="J23" s="121">
        <f t="shared" si="0"/>
        <v>7</v>
      </c>
      <c r="K23" s="121">
        <f t="shared" si="0"/>
        <v>8</v>
      </c>
      <c r="L23" s="121">
        <f t="shared" si="0"/>
        <v>9</v>
      </c>
      <c r="M23" s="121">
        <f t="shared" si="0"/>
        <v>10</v>
      </c>
      <c r="N23" s="121">
        <f t="shared" si="0"/>
        <v>11</v>
      </c>
      <c r="O23" s="121">
        <f t="shared" si="0"/>
        <v>12</v>
      </c>
      <c r="P23" s="121">
        <f t="shared" si="0"/>
        <v>13</v>
      </c>
      <c r="Q23" s="121">
        <f t="shared" si="0"/>
        <v>14</v>
      </c>
      <c r="R23" s="121">
        <f t="shared" si="0"/>
        <v>15</v>
      </c>
      <c r="S23" s="121">
        <f t="shared" si="0"/>
        <v>16</v>
      </c>
      <c r="T23" s="121">
        <f t="shared" si="0"/>
        <v>17</v>
      </c>
      <c r="U23" s="121">
        <f t="shared" si="0"/>
        <v>18</v>
      </c>
      <c r="V23" s="121">
        <f t="shared" si="0"/>
        <v>19</v>
      </c>
      <c r="W23" s="121">
        <f t="shared" si="0"/>
        <v>20</v>
      </c>
      <c r="X23" s="148">
        <f>W23+1</f>
        <v>21</v>
      </c>
      <c r="Y23" s="148">
        <f>X23+1</f>
        <v>22</v>
      </c>
      <c r="Z23" s="148">
        <f>Y23+1</f>
        <v>23</v>
      </c>
      <c r="AA23" s="148">
        <f>Z23+1</f>
        <v>24</v>
      </c>
      <c r="AB23" s="148">
        <f>AA23+1</f>
        <v>25</v>
      </c>
    </row>
    <row r="24" spans="2:28" x14ac:dyDescent="0.25">
      <c r="B24" s="36" t="s">
        <v>39</v>
      </c>
      <c r="C24" s="16"/>
      <c r="D24" s="20">
        <f t="shared" ref="D24:AB24" si="1">$D$16*$D$17*8760</f>
        <v>595736.06400000001</v>
      </c>
      <c r="E24" s="20">
        <f t="shared" si="1"/>
        <v>595736.06400000001</v>
      </c>
      <c r="F24" s="20">
        <f t="shared" si="1"/>
        <v>595736.06400000001</v>
      </c>
      <c r="G24" s="20">
        <f t="shared" si="1"/>
        <v>595736.06400000001</v>
      </c>
      <c r="H24" s="20">
        <f t="shared" si="1"/>
        <v>595736.06400000001</v>
      </c>
      <c r="I24" s="20">
        <f t="shared" si="1"/>
        <v>595736.06400000001</v>
      </c>
      <c r="J24" s="20">
        <f t="shared" si="1"/>
        <v>595736.06400000001</v>
      </c>
      <c r="K24" s="20">
        <f t="shared" si="1"/>
        <v>595736.06400000001</v>
      </c>
      <c r="L24" s="20">
        <f t="shared" si="1"/>
        <v>595736.06400000001</v>
      </c>
      <c r="M24" s="20">
        <f t="shared" si="1"/>
        <v>595736.06400000001</v>
      </c>
      <c r="N24" s="20">
        <f t="shared" si="1"/>
        <v>595736.06400000001</v>
      </c>
      <c r="O24" s="20">
        <f t="shared" si="1"/>
        <v>595736.06400000001</v>
      </c>
      <c r="P24" s="20">
        <f t="shared" si="1"/>
        <v>595736.06400000001</v>
      </c>
      <c r="Q24" s="20">
        <f t="shared" si="1"/>
        <v>595736.06400000001</v>
      </c>
      <c r="R24" s="20">
        <f t="shared" si="1"/>
        <v>595736.06400000001</v>
      </c>
      <c r="S24" s="20">
        <f t="shared" si="1"/>
        <v>595736.06400000001</v>
      </c>
      <c r="T24" s="20">
        <f t="shared" si="1"/>
        <v>595736.06400000001</v>
      </c>
      <c r="U24" s="20">
        <f t="shared" si="1"/>
        <v>595736.06400000001</v>
      </c>
      <c r="V24" s="20">
        <f t="shared" si="1"/>
        <v>595736.06400000001</v>
      </c>
      <c r="W24" s="20">
        <f t="shared" si="1"/>
        <v>595736.06400000001</v>
      </c>
      <c r="X24" s="20">
        <f t="shared" si="1"/>
        <v>595736.06400000001</v>
      </c>
      <c r="Y24" s="20">
        <f t="shared" si="1"/>
        <v>595736.06400000001</v>
      </c>
      <c r="Z24" s="20">
        <f t="shared" si="1"/>
        <v>595736.06400000001</v>
      </c>
      <c r="AA24" s="20">
        <f t="shared" si="1"/>
        <v>595736.06400000001</v>
      </c>
      <c r="AB24" s="20">
        <f t="shared" si="1"/>
        <v>595736.06400000001</v>
      </c>
    </row>
    <row r="25" spans="2:28" x14ac:dyDescent="0.25">
      <c r="B25" s="37" t="s">
        <v>54</v>
      </c>
      <c r="C25" s="17"/>
      <c r="D25" s="78">
        <f>'Cash Flows'!D16</f>
        <v>55</v>
      </c>
      <c r="E25" s="78">
        <f>'Cash Flows'!E16</f>
        <v>56.374999999999993</v>
      </c>
      <c r="F25" s="78">
        <f>'Cash Flows'!F16</f>
        <v>57.78437499999999</v>
      </c>
      <c r="G25" s="78">
        <f>'Cash Flows'!G16</f>
        <v>59.228984374999982</v>
      </c>
      <c r="H25" s="78">
        <f>'Cash Flows'!H16</f>
        <v>60.709708984374977</v>
      </c>
      <c r="I25" s="78">
        <f>'Cash Flows'!I16</f>
        <v>62.227451708984347</v>
      </c>
      <c r="J25" s="78">
        <f>'Cash Flows'!J16</f>
        <v>63.783138001708949</v>
      </c>
      <c r="K25" s="78">
        <f>'Cash Flows'!K16</f>
        <v>65.377716451751667</v>
      </c>
      <c r="L25" s="78">
        <f>'Cash Flows'!L16</f>
        <v>67.012159363045456</v>
      </c>
      <c r="M25" s="78">
        <f>'Cash Flows'!M16</f>
        <v>68.687463347121593</v>
      </c>
      <c r="N25" s="78">
        <f>'Cash Flows'!N16</f>
        <v>70.404649930799621</v>
      </c>
      <c r="O25" s="78">
        <f>'Cash Flows'!O16</f>
        <v>72.164766179069602</v>
      </c>
      <c r="P25" s="78">
        <f>'Cash Flows'!P16</f>
        <v>73.968885333546339</v>
      </c>
      <c r="Q25" s="78">
        <f>'Cash Flows'!Q16</f>
        <v>75.818107466884996</v>
      </c>
      <c r="R25" s="78">
        <f>'Cash Flows'!R16</f>
        <v>77.713560153557111</v>
      </c>
      <c r="S25" s="78">
        <f>'Cash Flows'!S16</f>
        <v>79.656399157396038</v>
      </c>
      <c r="T25" s="78">
        <f>'Cash Flows'!T16</f>
        <v>81.647809136330935</v>
      </c>
      <c r="U25" s="78">
        <f>'Cash Flows'!U16</f>
        <v>83.689004364739205</v>
      </c>
      <c r="V25" s="78">
        <f>'Cash Flows'!V16</f>
        <v>85.781229473857678</v>
      </c>
      <c r="W25" s="78">
        <f>'Cash Flows'!W16</f>
        <v>87.925760210704112</v>
      </c>
      <c r="X25" s="78">
        <f>'Cash Flows'!X16</f>
        <v>90.123904215971706</v>
      </c>
      <c r="Y25" s="78">
        <f>'Cash Flows'!Y16</f>
        <v>92.377001821370996</v>
      </c>
      <c r="Z25" s="78">
        <f>'Cash Flows'!Z16</f>
        <v>94.686426866905265</v>
      </c>
      <c r="AA25" s="78">
        <f>'Cash Flows'!AA16</f>
        <v>97.053587538577887</v>
      </c>
      <c r="AB25" s="78">
        <f>'Cash Flows'!AB16</f>
        <v>99.479927227042324</v>
      </c>
    </row>
    <row r="26" spans="2:28" x14ac:dyDescent="0.25">
      <c r="B26" s="2" t="s">
        <v>115</v>
      </c>
      <c r="D26" s="31">
        <f t="shared" ref="D26:W26" si="2">D24*D25/1000</f>
        <v>32765.483519999998</v>
      </c>
      <c r="E26" s="31">
        <f t="shared" si="2"/>
        <v>33584.620607999997</v>
      </c>
      <c r="F26" s="31">
        <f t="shared" si="2"/>
        <v>34424.236123199989</v>
      </c>
      <c r="G26" s="31">
        <f t="shared" si="2"/>
        <v>35284.842026279992</v>
      </c>
      <c r="H26" s="31">
        <f t="shared" si="2"/>
        <v>36166.963076936991</v>
      </c>
      <c r="I26" s="31">
        <f t="shared" si="2"/>
        <v>37071.137153860414</v>
      </c>
      <c r="J26" s="31">
        <f t="shared" si="2"/>
        <v>37997.915582706912</v>
      </c>
      <c r="K26" s="31">
        <f t="shared" si="2"/>
        <v>38947.863472274585</v>
      </c>
      <c r="L26" s="31">
        <f t="shared" si="2"/>
        <v>39921.56005908145</v>
      </c>
      <c r="M26" s="31">
        <f t="shared" si="2"/>
        <v>40919.599060558481</v>
      </c>
      <c r="N26" s="31">
        <f t="shared" si="2"/>
        <v>41942.589037072445</v>
      </c>
      <c r="O26" s="31">
        <f t="shared" si="2"/>
        <v>42991.153762999245</v>
      </c>
      <c r="P26" s="31">
        <f t="shared" si="2"/>
        <v>44065.932607074225</v>
      </c>
      <c r="Q26" s="31">
        <f t="shared" si="2"/>
        <v>45167.580922251072</v>
      </c>
      <c r="R26" s="31">
        <f t="shared" si="2"/>
        <v>46296.770445307353</v>
      </c>
      <c r="S26" s="31">
        <f t="shared" si="2"/>
        <v>47454.189706440033</v>
      </c>
      <c r="T26" s="31">
        <f t="shared" si="2"/>
        <v>48640.544449101028</v>
      </c>
      <c r="U26" s="31">
        <f t="shared" si="2"/>
        <v>49856.558060328556</v>
      </c>
      <c r="V26" s="31">
        <f t="shared" si="2"/>
        <v>51102.97201183677</v>
      </c>
      <c r="W26" s="31">
        <f t="shared" si="2"/>
        <v>52380.546312132676</v>
      </c>
      <c r="X26" s="31">
        <f>X24*X25/1000</f>
        <v>53690.059969935988</v>
      </c>
      <c r="Y26" s="31">
        <f>Y24*Y25/1000</f>
        <v>55032.311469184395</v>
      </c>
      <c r="Z26" s="31">
        <f>Z24*Z25/1000</f>
        <v>56408.119255913996</v>
      </c>
      <c r="AA26" s="31">
        <f>AA24*AA25/1000</f>
        <v>57818.322237311841</v>
      </c>
      <c r="AB26" s="31">
        <f>AB24*AB25/1000</f>
        <v>59263.780293244628</v>
      </c>
    </row>
    <row r="27" spans="2:28" x14ac:dyDescent="0.25">
      <c r="B27" s="37" t="s">
        <v>137</v>
      </c>
      <c r="C27" s="13"/>
      <c r="D27" s="20">
        <f>'Cash Flows'!D29</f>
        <v>-9726.8805849600012</v>
      </c>
      <c r="E27" s="20">
        <f>'Cash Flows'!E29</f>
        <v>-9970.052599583998</v>
      </c>
      <c r="F27" s="20">
        <f>'Cash Flows'!F29</f>
        <v>-10219.303914573598</v>
      </c>
      <c r="G27" s="20">
        <f>'Cash Flows'!G29</f>
        <v>-10474.78651243794</v>
      </c>
      <c r="H27" s="20">
        <f>'Cash Flows'!H29</f>
        <v>-10736.656175248885</v>
      </c>
      <c r="I27" s="20">
        <f>'Cash Flows'!I29</f>
        <v>-11005.072579630105</v>
      </c>
      <c r="J27" s="20">
        <f>'Cash Flows'!J29</f>
        <v>-11280.199394120858</v>
      </c>
      <c r="K27" s="20">
        <f>'Cash Flows'!K29</f>
        <v>-11562.204378973882</v>
      </c>
      <c r="L27" s="20">
        <f>'Cash Flows'!L29</f>
        <v>-11851.259488448226</v>
      </c>
      <c r="M27" s="20">
        <f>'Cash Flows'!M29</f>
        <v>-12147.540975659433</v>
      </c>
      <c r="N27" s="20">
        <f>'Cash Flows'!N29</f>
        <v>-12451.229500050918</v>
      </c>
      <c r="O27" s="20">
        <f>'Cash Flows'!O29</f>
        <v>-12762.510237552187</v>
      </c>
      <c r="P27" s="20">
        <f>'Cash Flows'!P29</f>
        <v>-13081.572993490996</v>
      </c>
      <c r="Q27" s="20">
        <f>'Cash Flows'!Q29</f>
        <v>-13408.612318328267</v>
      </c>
      <c r="R27" s="20">
        <f>'Cash Flows'!R29</f>
        <v>-13743.827626286473</v>
      </c>
      <c r="S27" s="20">
        <f>'Cash Flows'!S29</f>
        <v>-14087.423316943634</v>
      </c>
      <c r="T27" s="20">
        <f>'Cash Flows'!T29</f>
        <v>-14439.608899867224</v>
      </c>
      <c r="U27" s="20">
        <f>'Cash Flows'!U29</f>
        <v>-14800.599122363905</v>
      </c>
      <c r="V27" s="20">
        <f>'Cash Flows'!V29</f>
        <v>-15170.614100423001</v>
      </c>
      <c r="W27" s="20">
        <f>'Cash Flows'!W29</f>
        <v>-15549.879452933577</v>
      </c>
      <c r="X27" s="20">
        <f>'Cash Flows'!X29</f>
        <v>-15938.626439256916</v>
      </c>
      <c r="Y27" s="20">
        <f>'Cash Flows'!Y29</f>
        <v>-16337.092100238337</v>
      </c>
      <c r="Z27" s="20">
        <f>'Cash Flows'!Z29</f>
        <v>-16745.519402744296</v>
      </c>
      <c r="AA27" s="20">
        <f>'Cash Flows'!AA29</f>
        <v>-17164.157387812902</v>
      </c>
      <c r="AB27" s="20">
        <f>'Cash Flows'!AB29</f>
        <v>-17593.261322508224</v>
      </c>
    </row>
    <row r="28" spans="2:28" x14ac:dyDescent="0.25">
      <c r="B28" s="1" t="s">
        <v>66</v>
      </c>
      <c r="C28" s="1"/>
      <c r="D28" s="79">
        <f>D26+D27</f>
        <v>23038.602935039999</v>
      </c>
      <c r="E28" s="79">
        <f t="shared" ref="E28:W28" si="3">E26+E27</f>
        <v>23614.568008415998</v>
      </c>
      <c r="F28" s="79">
        <f t="shared" si="3"/>
        <v>24204.932208626393</v>
      </c>
      <c r="G28" s="79">
        <f t="shared" si="3"/>
        <v>24810.055513842053</v>
      </c>
      <c r="H28" s="79">
        <f t="shared" si="3"/>
        <v>25430.306901688105</v>
      </c>
      <c r="I28" s="79">
        <f t="shared" si="3"/>
        <v>26066.06457423031</v>
      </c>
      <c r="J28" s="79">
        <f t="shared" si="3"/>
        <v>26717.716188586055</v>
      </c>
      <c r="K28" s="79">
        <f t="shared" si="3"/>
        <v>27385.659093300703</v>
      </c>
      <c r="L28" s="79">
        <f t="shared" si="3"/>
        <v>28070.300570633226</v>
      </c>
      <c r="M28" s="79">
        <f t="shared" si="3"/>
        <v>28772.05808489905</v>
      </c>
      <c r="N28" s="79">
        <f t="shared" si="3"/>
        <v>29491.359537021526</v>
      </c>
      <c r="O28" s="79">
        <f t="shared" si="3"/>
        <v>30228.643525447056</v>
      </c>
      <c r="P28" s="79">
        <f t="shared" si="3"/>
        <v>30984.359613583227</v>
      </c>
      <c r="Q28" s="79">
        <f t="shared" si="3"/>
        <v>31758.968603922804</v>
      </c>
      <c r="R28" s="79">
        <f t="shared" si="3"/>
        <v>32552.942819020878</v>
      </c>
      <c r="S28" s="79">
        <f t="shared" si="3"/>
        <v>33366.766389496399</v>
      </c>
      <c r="T28" s="79">
        <f t="shared" si="3"/>
        <v>34200.935549233807</v>
      </c>
      <c r="U28" s="79">
        <f t="shared" si="3"/>
        <v>35055.95893796465</v>
      </c>
      <c r="V28" s="79">
        <f t="shared" si="3"/>
        <v>35932.357911413768</v>
      </c>
      <c r="W28" s="79">
        <f t="shared" si="3"/>
        <v>36830.666859199097</v>
      </c>
      <c r="X28" s="79">
        <f>X26+X27</f>
        <v>37751.433530679074</v>
      </c>
      <c r="Y28" s="79">
        <f>Y26+Y27</f>
        <v>38695.219368946055</v>
      </c>
      <c r="Z28" s="79">
        <f>Z26+Z27</f>
        <v>39662.599853169697</v>
      </c>
      <c r="AA28" s="79">
        <f>AA26+AA27</f>
        <v>40654.164849498935</v>
      </c>
      <c r="AB28" s="79">
        <f>AB26+AB27</f>
        <v>41670.518970736404</v>
      </c>
    </row>
    <row r="30" spans="2:28" x14ac:dyDescent="0.25">
      <c r="B30" s="2" t="s">
        <v>69</v>
      </c>
      <c r="D30" s="20">
        <f t="shared" ref="D30:W30" si="4">D28</f>
        <v>23038.602935039999</v>
      </c>
      <c r="E30" s="20">
        <f t="shared" si="4"/>
        <v>23614.568008415998</v>
      </c>
      <c r="F30" s="20">
        <f t="shared" si="4"/>
        <v>24204.932208626393</v>
      </c>
      <c r="G30" s="20">
        <f t="shared" si="4"/>
        <v>24810.055513842053</v>
      </c>
      <c r="H30" s="20">
        <f t="shared" si="4"/>
        <v>25430.306901688105</v>
      </c>
      <c r="I30" s="20">
        <f t="shared" si="4"/>
        <v>26066.06457423031</v>
      </c>
      <c r="J30" s="20">
        <f t="shared" si="4"/>
        <v>26717.716188586055</v>
      </c>
      <c r="K30" s="20">
        <f t="shared" si="4"/>
        <v>27385.659093300703</v>
      </c>
      <c r="L30" s="20">
        <f t="shared" si="4"/>
        <v>28070.300570633226</v>
      </c>
      <c r="M30" s="20">
        <f t="shared" si="4"/>
        <v>28772.05808489905</v>
      </c>
      <c r="N30" s="20">
        <f t="shared" si="4"/>
        <v>29491.359537021526</v>
      </c>
      <c r="O30" s="20">
        <f t="shared" si="4"/>
        <v>30228.643525447056</v>
      </c>
      <c r="P30" s="20">
        <f t="shared" si="4"/>
        <v>30984.359613583227</v>
      </c>
      <c r="Q30" s="20">
        <f t="shared" si="4"/>
        <v>31758.968603922804</v>
      </c>
      <c r="R30" s="20">
        <f t="shared" si="4"/>
        <v>32552.942819020878</v>
      </c>
      <c r="S30" s="20">
        <f t="shared" si="4"/>
        <v>33366.766389496399</v>
      </c>
      <c r="T30" s="20">
        <f t="shared" si="4"/>
        <v>34200.935549233807</v>
      </c>
      <c r="U30" s="20">
        <f t="shared" si="4"/>
        <v>35055.95893796465</v>
      </c>
      <c r="V30" s="20">
        <f t="shared" si="4"/>
        <v>35932.357911413768</v>
      </c>
      <c r="W30" s="20">
        <f t="shared" si="4"/>
        <v>36830.666859199097</v>
      </c>
      <c r="X30" s="20">
        <f>X28</f>
        <v>37751.433530679074</v>
      </c>
      <c r="Y30" s="20">
        <f>Y28</f>
        <v>38695.219368946055</v>
      </c>
      <c r="Z30" s="20">
        <f>Z28</f>
        <v>39662.599853169697</v>
      </c>
      <c r="AA30" s="20">
        <f>AA28</f>
        <v>40654.164849498935</v>
      </c>
      <c r="AB30" s="20">
        <f>AB28</f>
        <v>41670.518970736404</v>
      </c>
    </row>
    <row r="31" spans="2:28" x14ac:dyDescent="0.25">
      <c r="B31" s="2" t="s">
        <v>64</v>
      </c>
      <c r="D31" s="20">
        <f t="shared" ref="D31:W31" si="5">IF(D23&lt;=$D$13,D30/$D$14,0)</f>
        <v>17722.002257723074</v>
      </c>
      <c r="E31" s="20">
        <f t="shared" si="5"/>
        <v>18165.052314166151</v>
      </c>
      <c r="F31" s="20">
        <f t="shared" si="5"/>
        <v>18619.178622020303</v>
      </c>
      <c r="G31" s="20">
        <f t="shared" si="5"/>
        <v>19084.65808757081</v>
      </c>
      <c r="H31" s="20">
        <f t="shared" si="5"/>
        <v>19561.774539760081</v>
      </c>
      <c r="I31" s="20">
        <f t="shared" si="5"/>
        <v>20050.818903254083</v>
      </c>
      <c r="J31" s="20">
        <f t="shared" si="5"/>
        <v>20552.089375835425</v>
      </c>
      <c r="K31" s="20">
        <f t="shared" si="5"/>
        <v>21065.891610231309</v>
      </c>
      <c r="L31" s="20">
        <f t="shared" si="5"/>
        <v>21592.538900487096</v>
      </c>
      <c r="M31" s="20">
        <f t="shared" si="5"/>
        <v>22132.35237299927</v>
      </c>
      <c r="N31" s="20">
        <f t="shared" si="5"/>
        <v>22685.661182324249</v>
      </c>
      <c r="O31" s="20">
        <f t="shared" si="5"/>
        <v>23252.802711882348</v>
      </c>
      <c r="P31" s="20">
        <f t="shared" si="5"/>
        <v>23834.122779679405</v>
      </c>
      <c r="Q31" s="20">
        <f t="shared" si="5"/>
        <v>24429.975849171387</v>
      </c>
      <c r="R31" s="20">
        <f t="shared" si="5"/>
        <v>25040.725245400674</v>
      </c>
      <c r="S31" s="20">
        <f t="shared" si="5"/>
        <v>25666.743376535691</v>
      </c>
      <c r="T31" s="20">
        <f t="shared" si="5"/>
        <v>26308.411960949081</v>
      </c>
      <c r="U31" s="20">
        <f t="shared" si="5"/>
        <v>26966.122259972806</v>
      </c>
      <c r="V31" s="20">
        <f t="shared" si="5"/>
        <v>0</v>
      </c>
      <c r="W31" s="20">
        <f t="shared" si="5"/>
        <v>0</v>
      </c>
      <c r="X31" s="20">
        <f>IF(X23&lt;=$D$13,X30/$D$14,0)</f>
        <v>0</v>
      </c>
      <c r="Y31" s="20">
        <f>IF(Y23&lt;=$D$13,Y30/$D$14,0)</f>
        <v>0</v>
      </c>
      <c r="Z31" s="20">
        <f>IF(Z23&lt;=$D$13,Z30/$D$14,0)</f>
        <v>0</v>
      </c>
      <c r="AA31" s="20">
        <f>IF(AA23&lt;=$D$13,AA30/$D$14,0)</f>
        <v>0</v>
      </c>
      <c r="AB31" s="20">
        <f>IF(AB23&lt;=$D$13,AB30/$D$14,0)</f>
        <v>0</v>
      </c>
    </row>
    <row r="33" spans="2:28" x14ac:dyDescent="0.25">
      <c r="B33" s="2" t="s">
        <v>70</v>
      </c>
      <c r="D33" s="20">
        <f t="shared" ref="D33:W33" si="6">C36</f>
        <v>271865.67260116036</v>
      </c>
      <c r="E33" s="20">
        <f t="shared" si="6"/>
        <v>265018.29724748369</v>
      </c>
      <c r="F33" s="20">
        <f t="shared" si="6"/>
        <v>257453.97682321689</v>
      </c>
      <c r="G33" s="20">
        <f t="shared" si="6"/>
        <v>249132.95727412525</v>
      </c>
      <c r="H33" s="20">
        <f t="shared" si="6"/>
        <v>240013.61747751944</v>
      </c>
      <c r="I33" s="20">
        <f t="shared" si="6"/>
        <v>230052.38763686013</v>
      </c>
      <c r="J33" s="20">
        <f t="shared" si="6"/>
        <v>219203.66423908045</v>
      </c>
      <c r="K33" s="20">
        <f t="shared" si="6"/>
        <v>207419.72143280823</v>
      </c>
      <c r="L33" s="20">
        <f t="shared" si="6"/>
        <v>194650.61867988924</v>
      </c>
      <c r="M33" s="20">
        <f t="shared" si="6"/>
        <v>180844.10452659772</v>
      </c>
      <c r="N33" s="20">
        <f t="shared" si="6"/>
        <v>165945.51633466236</v>
      </c>
      <c r="O33" s="20">
        <f t="shared" si="6"/>
        <v>149897.6758057246</v>
      </c>
      <c r="P33" s="20">
        <f t="shared" si="6"/>
        <v>132640.78012607124</v>
      </c>
      <c r="Q33" s="20">
        <f t="shared" si="6"/>
        <v>114112.28855143469</v>
      </c>
      <c r="R33" s="20">
        <f t="shared" si="6"/>
        <v>94246.804244320694</v>
      </c>
      <c r="S33" s="20">
        <f t="shared" si="6"/>
        <v>72975.951168692845</v>
      </c>
      <c r="T33" s="20">
        <f t="shared" si="6"/>
        <v>50228.24583890487</v>
      </c>
      <c r="U33" s="20">
        <f t="shared" si="6"/>
        <v>25928.963711511984</v>
      </c>
      <c r="V33" s="20">
        <f t="shared" si="6"/>
        <v>-3.4197000786662102E-10</v>
      </c>
      <c r="W33" s="20">
        <f t="shared" si="6"/>
        <v>-3.5564880818128588E-10</v>
      </c>
      <c r="X33" s="20">
        <f>W36</f>
        <v>-3.698747605085373E-10</v>
      </c>
      <c r="Y33" s="20">
        <f>X36</f>
        <v>-3.846697509288788E-10</v>
      </c>
      <c r="Z33" s="20">
        <f>Y36</f>
        <v>-4.0005654096603395E-10</v>
      </c>
      <c r="AA33" s="20">
        <f>Z36</f>
        <v>-4.1605880260467531E-10</v>
      </c>
      <c r="AB33" s="20">
        <f>AA36</f>
        <v>-4.3270115470886235E-10</v>
      </c>
    </row>
    <row r="34" spans="2:28" x14ac:dyDescent="0.25">
      <c r="B34" s="36" t="s">
        <v>141</v>
      </c>
      <c r="D34" s="20">
        <f>-D31-D35</f>
        <v>-6847.3753536766599</v>
      </c>
      <c r="E34" s="20">
        <f t="shared" ref="E34:W34" si="7">-E31-E35</f>
        <v>-7564.3204242668035</v>
      </c>
      <c r="F34" s="20">
        <f t="shared" si="7"/>
        <v>-8321.0195490916267</v>
      </c>
      <c r="G34" s="20">
        <f t="shared" si="7"/>
        <v>-9119.3397966058001</v>
      </c>
      <c r="H34" s="20">
        <f t="shared" si="7"/>
        <v>-9961.2298406593036</v>
      </c>
      <c r="I34" s="20">
        <f t="shared" si="7"/>
        <v>-10848.723397779677</v>
      </c>
      <c r="J34" s="20">
        <f t="shared" si="7"/>
        <v>-11783.942806272207</v>
      </c>
      <c r="K34" s="20">
        <f t="shared" si="7"/>
        <v>-12769.10275291898</v>
      </c>
      <c r="L34" s="20">
        <f t="shared" si="7"/>
        <v>-13806.514153291526</v>
      </c>
      <c r="M34" s="20">
        <f t="shared" si="7"/>
        <v>-14898.588191935361</v>
      </c>
      <c r="N34" s="20">
        <f t="shared" si="7"/>
        <v>-16047.840528937755</v>
      </c>
      <c r="O34" s="20">
        <f t="shared" si="7"/>
        <v>-17256.895679653364</v>
      </c>
      <c r="P34" s="20">
        <f t="shared" si="7"/>
        <v>-18528.491574636555</v>
      </c>
      <c r="Q34" s="20">
        <f t="shared" si="7"/>
        <v>-19865.484307113999</v>
      </c>
      <c r="R34" s="20">
        <f t="shared" si="7"/>
        <v>-21270.853075627845</v>
      </c>
      <c r="S34" s="20">
        <f t="shared" si="7"/>
        <v>-22747.705329787976</v>
      </c>
      <c r="T34" s="20">
        <f t="shared" si="7"/>
        <v>-24299.282127392886</v>
      </c>
      <c r="U34" s="20">
        <f t="shared" si="7"/>
        <v>-25928.963711512326</v>
      </c>
      <c r="V34" s="20">
        <f t="shared" si="7"/>
        <v>-1.3678800314664842E-11</v>
      </c>
      <c r="W34" s="20">
        <f t="shared" si="7"/>
        <v>-1.4225952327251435E-11</v>
      </c>
      <c r="X34" s="20">
        <f>-X31-X35</f>
        <v>-1.4794990420341492E-11</v>
      </c>
      <c r="Y34" s="20">
        <f>-Y31-Y35</f>
        <v>-1.5386790037155153E-11</v>
      </c>
      <c r="Z34" s="20">
        <f>-Z31-Z35</f>
        <v>-1.6002261638641358E-11</v>
      </c>
      <c r="AA34" s="20">
        <f>-AA31-AA35</f>
        <v>-1.6642352104187011E-11</v>
      </c>
      <c r="AB34" s="20">
        <f>-AB31-AB35</f>
        <v>-1.7308046188354495E-11</v>
      </c>
    </row>
    <row r="35" spans="2:28" x14ac:dyDescent="0.25">
      <c r="B35" s="36" t="s">
        <v>20</v>
      </c>
      <c r="D35" s="20">
        <f>-D33*$D$11</f>
        <v>-10874.626904046414</v>
      </c>
      <c r="E35" s="20">
        <f t="shared" ref="E35:W35" si="8">-E33*$D$11</f>
        <v>-10600.731889899347</v>
      </c>
      <c r="F35" s="20">
        <f t="shared" si="8"/>
        <v>-10298.159072928676</v>
      </c>
      <c r="G35" s="20">
        <f t="shared" si="8"/>
        <v>-9965.3182909650095</v>
      </c>
      <c r="H35" s="20">
        <f t="shared" si="8"/>
        <v>-9600.5446991007775</v>
      </c>
      <c r="I35" s="20">
        <f t="shared" si="8"/>
        <v>-9202.0955054744063</v>
      </c>
      <c r="J35" s="20">
        <f t="shared" si="8"/>
        <v>-8768.1465695632178</v>
      </c>
      <c r="K35" s="20">
        <f t="shared" si="8"/>
        <v>-8296.7888573123291</v>
      </c>
      <c r="L35" s="20">
        <f t="shared" si="8"/>
        <v>-7786.0247471955699</v>
      </c>
      <c r="M35" s="20">
        <f t="shared" si="8"/>
        <v>-7233.7641810639088</v>
      </c>
      <c r="N35" s="20">
        <f t="shared" si="8"/>
        <v>-6637.8206533864941</v>
      </c>
      <c r="O35" s="20">
        <f t="shared" si="8"/>
        <v>-5995.9070322289845</v>
      </c>
      <c r="P35" s="20">
        <f t="shared" si="8"/>
        <v>-5305.6312050428496</v>
      </c>
      <c r="Q35" s="20">
        <f t="shared" si="8"/>
        <v>-4564.491542057388</v>
      </c>
      <c r="R35" s="20">
        <f t="shared" si="8"/>
        <v>-3769.8721697728279</v>
      </c>
      <c r="S35" s="20">
        <f t="shared" si="8"/>
        <v>-2919.0380467477139</v>
      </c>
      <c r="T35" s="20">
        <f t="shared" si="8"/>
        <v>-2009.1298335561949</v>
      </c>
      <c r="U35" s="20">
        <f t="shared" si="8"/>
        <v>-1037.1585484604793</v>
      </c>
      <c r="V35" s="20">
        <f t="shared" si="8"/>
        <v>1.3678800314664842E-11</v>
      </c>
      <c r="W35" s="20">
        <f t="shared" si="8"/>
        <v>1.4225952327251435E-11</v>
      </c>
      <c r="X35" s="20">
        <f>-X33*$D$11</f>
        <v>1.4794990420341492E-11</v>
      </c>
      <c r="Y35" s="20">
        <f>-Y33*$D$11</f>
        <v>1.5386790037155153E-11</v>
      </c>
      <c r="Z35" s="20">
        <f>-Z33*$D$11</f>
        <v>1.6002261638641358E-11</v>
      </c>
      <c r="AA35" s="20">
        <f>-AA33*$D$11</f>
        <v>1.6642352104187011E-11</v>
      </c>
      <c r="AB35" s="20">
        <f>-AB33*$D$11</f>
        <v>1.7308046188354495E-11</v>
      </c>
    </row>
    <row r="36" spans="2:28" x14ac:dyDescent="0.25">
      <c r="B36" s="2" t="s">
        <v>71</v>
      </c>
      <c r="C36" s="20">
        <f>$D$19</f>
        <v>271865.67260116036</v>
      </c>
      <c r="D36" s="20">
        <f>D33+D34</f>
        <v>265018.29724748369</v>
      </c>
      <c r="E36" s="20">
        <f t="shared" ref="E36:W36" si="9">E33+E34</f>
        <v>257453.97682321689</v>
      </c>
      <c r="F36" s="20">
        <f t="shared" si="9"/>
        <v>249132.95727412525</v>
      </c>
      <c r="G36" s="20">
        <f t="shared" si="9"/>
        <v>240013.61747751944</v>
      </c>
      <c r="H36" s="20">
        <f t="shared" si="9"/>
        <v>230052.38763686013</v>
      </c>
      <c r="I36" s="20">
        <f t="shared" si="9"/>
        <v>219203.66423908045</v>
      </c>
      <c r="J36" s="20">
        <f t="shared" si="9"/>
        <v>207419.72143280823</v>
      </c>
      <c r="K36" s="20">
        <f t="shared" si="9"/>
        <v>194650.61867988924</v>
      </c>
      <c r="L36" s="20">
        <f t="shared" si="9"/>
        <v>180844.10452659772</v>
      </c>
      <c r="M36" s="20">
        <f t="shared" si="9"/>
        <v>165945.51633466236</v>
      </c>
      <c r="N36" s="20">
        <f t="shared" si="9"/>
        <v>149897.6758057246</v>
      </c>
      <c r="O36" s="20">
        <f t="shared" si="9"/>
        <v>132640.78012607124</v>
      </c>
      <c r="P36" s="20">
        <f t="shared" si="9"/>
        <v>114112.28855143469</v>
      </c>
      <c r="Q36" s="20">
        <f t="shared" si="9"/>
        <v>94246.804244320694</v>
      </c>
      <c r="R36" s="20">
        <f t="shared" si="9"/>
        <v>72975.951168692845</v>
      </c>
      <c r="S36" s="20">
        <f t="shared" si="9"/>
        <v>50228.24583890487</v>
      </c>
      <c r="T36" s="20">
        <f t="shared" si="9"/>
        <v>25928.963711511984</v>
      </c>
      <c r="U36" s="20">
        <f t="shared" si="9"/>
        <v>-3.4197000786662102E-10</v>
      </c>
      <c r="V36" s="20">
        <f t="shared" si="9"/>
        <v>-3.5564880818128588E-10</v>
      </c>
      <c r="W36" s="20">
        <f t="shared" si="9"/>
        <v>-3.698747605085373E-10</v>
      </c>
      <c r="X36" s="20">
        <f>X33+X34</f>
        <v>-3.846697509288788E-10</v>
      </c>
      <c r="Y36" s="20">
        <f>Y33+Y34</f>
        <v>-4.0005654096603395E-10</v>
      </c>
      <c r="Z36" s="20">
        <f>Z33+Z34</f>
        <v>-4.1605880260467531E-10</v>
      </c>
      <c r="AA36" s="20">
        <f>AA33+AA34</f>
        <v>-4.3270115470886235E-10</v>
      </c>
      <c r="AB36" s="20">
        <f>AB33+AB34</f>
        <v>-4.5000920089721684E-10</v>
      </c>
    </row>
    <row r="38" spans="2:28" x14ac:dyDescent="0.25">
      <c r="B38" s="2" t="s">
        <v>72</v>
      </c>
      <c r="D38" s="20">
        <f t="shared" ref="D38:W38" si="10">IF(D23&lt;=$D$13,D34+D35,0)</f>
        <v>-17722.002257723074</v>
      </c>
      <c r="E38" s="20">
        <f t="shared" si="10"/>
        <v>-18165.052314166151</v>
      </c>
      <c r="F38" s="20">
        <f t="shared" si="10"/>
        <v>-18619.178622020303</v>
      </c>
      <c r="G38" s="20">
        <f t="shared" si="10"/>
        <v>-19084.65808757081</v>
      </c>
      <c r="H38" s="20">
        <f t="shared" si="10"/>
        <v>-19561.774539760081</v>
      </c>
      <c r="I38" s="20">
        <f t="shared" si="10"/>
        <v>-20050.818903254083</v>
      </c>
      <c r="J38" s="20">
        <f t="shared" si="10"/>
        <v>-20552.089375835425</v>
      </c>
      <c r="K38" s="20">
        <f t="shared" si="10"/>
        <v>-21065.891610231309</v>
      </c>
      <c r="L38" s="20">
        <f t="shared" si="10"/>
        <v>-21592.538900487096</v>
      </c>
      <c r="M38" s="20">
        <f t="shared" si="10"/>
        <v>-22132.35237299927</v>
      </c>
      <c r="N38" s="20">
        <f t="shared" si="10"/>
        <v>-22685.661182324249</v>
      </c>
      <c r="O38" s="20">
        <f t="shared" si="10"/>
        <v>-23252.802711882348</v>
      </c>
      <c r="P38" s="20">
        <f t="shared" si="10"/>
        <v>-23834.122779679405</v>
      </c>
      <c r="Q38" s="20">
        <f t="shared" si="10"/>
        <v>-24429.975849171387</v>
      </c>
      <c r="R38" s="20">
        <f t="shared" si="10"/>
        <v>-25040.725245400674</v>
      </c>
      <c r="S38" s="20">
        <f t="shared" si="10"/>
        <v>-25666.743376535691</v>
      </c>
      <c r="T38" s="20">
        <f t="shared" si="10"/>
        <v>-26308.411960949081</v>
      </c>
      <c r="U38" s="20">
        <f t="shared" si="10"/>
        <v>-26966.122259972806</v>
      </c>
      <c r="V38" s="20">
        <f t="shared" si="10"/>
        <v>0</v>
      </c>
      <c r="W38" s="20">
        <f t="shared" si="10"/>
        <v>0</v>
      </c>
      <c r="X38" s="20">
        <f>IF(X23&lt;=$D$13,X34+X35,0)</f>
        <v>0</v>
      </c>
      <c r="Y38" s="20">
        <f>IF(Y23&lt;=$D$13,Y34+Y35,0)</f>
        <v>0</v>
      </c>
      <c r="Z38" s="20">
        <f>IF(Z23&lt;=$D$13,Z34+Z35,0)</f>
        <v>0</v>
      </c>
      <c r="AA38" s="20">
        <f>IF(AA23&lt;=$D$13,AA34+AA35,0)</f>
        <v>0</v>
      </c>
      <c r="AB38" s="20">
        <f>IF(AB23&lt;=$D$13,AB34+AB35,0)</f>
        <v>0</v>
      </c>
    </row>
    <row r="39" spans="2:28" x14ac:dyDescent="0.25">
      <c r="B39" s="2" t="s">
        <v>73</v>
      </c>
      <c r="D39" s="74">
        <f t="shared" ref="D39:W39" si="11">IF(D23&lt;=$D$13,-D28/D38,"")</f>
        <v>1.3</v>
      </c>
      <c r="E39" s="74">
        <f t="shared" si="11"/>
        <v>1.3</v>
      </c>
      <c r="F39" s="74">
        <f t="shared" si="11"/>
        <v>1.3</v>
      </c>
      <c r="G39" s="74">
        <f t="shared" si="11"/>
        <v>1.3</v>
      </c>
      <c r="H39" s="74">
        <f t="shared" si="11"/>
        <v>1.3</v>
      </c>
      <c r="I39" s="74">
        <f t="shared" si="11"/>
        <v>1.3</v>
      </c>
      <c r="J39" s="74">
        <f t="shared" si="11"/>
        <v>1.3</v>
      </c>
      <c r="K39" s="74">
        <f t="shared" si="11"/>
        <v>1.3</v>
      </c>
      <c r="L39" s="74">
        <f t="shared" si="11"/>
        <v>1.3</v>
      </c>
      <c r="M39" s="74">
        <f t="shared" si="11"/>
        <v>1.3</v>
      </c>
      <c r="N39" s="74">
        <f t="shared" si="11"/>
        <v>1.3</v>
      </c>
      <c r="O39" s="74">
        <f t="shared" si="11"/>
        <v>1.3</v>
      </c>
      <c r="P39" s="74">
        <f t="shared" si="11"/>
        <v>1.3</v>
      </c>
      <c r="Q39" s="74">
        <f t="shared" si="11"/>
        <v>1.3</v>
      </c>
      <c r="R39" s="74">
        <f t="shared" si="11"/>
        <v>1.3</v>
      </c>
      <c r="S39" s="74">
        <f t="shared" si="11"/>
        <v>1.3</v>
      </c>
      <c r="T39" s="74">
        <f t="shared" si="11"/>
        <v>1.3</v>
      </c>
      <c r="U39" s="74">
        <f t="shared" si="11"/>
        <v>1.3</v>
      </c>
      <c r="V39" s="74" t="str">
        <f t="shared" si="11"/>
        <v/>
      </c>
      <c r="W39" s="74" t="str">
        <f t="shared" si="11"/>
        <v/>
      </c>
      <c r="X39" s="74" t="str">
        <f>IF(X23&lt;=$D$13,-X28/X38,"")</f>
        <v/>
      </c>
      <c r="Y39" s="74" t="str">
        <f>IF(Y23&lt;=$D$13,-Y28/Y38,"")</f>
        <v/>
      </c>
      <c r="Z39" s="74" t="str">
        <f>IF(Z23&lt;=$D$13,-Z28/Z38,"")</f>
        <v/>
      </c>
      <c r="AA39" s="74" t="str">
        <f>IF(AA23&lt;=$D$13,-AA28/AA38,"")</f>
        <v/>
      </c>
      <c r="AB39" s="74" t="str">
        <f>IF(AB23&lt;=$D$13,-AB28/AB38,"")</f>
        <v/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Assumptions</vt:lpstr>
      <vt:lpstr>Cash Flows</vt:lpstr>
      <vt:lpstr>Tax Equity and Partnership</vt:lpstr>
      <vt:lpstr>Depreciation</vt:lpstr>
      <vt:lpstr>Debt</vt:lpstr>
    </vt:vector>
  </TitlesOfParts>
  <Company>Garrad Hassan America,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Silverpeak</dc:creator>
  <cp:keywords>General</cp:keywords>
  <cp:lastModifiedBy>Raikar, Santosh</cp:lastModifiedBy>
  <dcterms:created xsi:type="dcterms:W3CDTF">2011-03-29T14:29:36Z</dcterms:created>
  <dcterms:modified xsi:type="dcterms:W3CDTF">2020-02-10T12:11:55Z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9d6a23ae-cf7b-4837-88aa-1b64850b9a61</vt:lpwstr>
  </property>
  <property fmtid="{D5CDD505-2E9C-101B-9397-08002B2CF9AE}" pid="3" name="SSCClassification">
    <vt:lpwstr>G</vt:lpwstr>
  </property>
  <property fmtid="{D5CDD505-2E9C-101B-9397-08002B2CF9AE}" pid="4" name="SSCVisualMarks">
    <vt:lpwstr>N</vt:lpwstr>
  </property>
</Properties>
</file>